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kooporders" sheetId="1" state="visible" r:id="rId1"/>
    <sheet xmlns:r="http://schemas.openxmlformats.org/officeDocument/2006/relationships" name="Leverancier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Toelicht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€&quot; #.##0,0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  <color rgb="0016A34A"/>
    </font>
    <font>
      <b val="1"/>
    </font>
    <font>
      <b val="1"/>
      <color rgb="00DC2626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0F766E"/>
      </patternFill>
    </fill>
    <fill>
      <patternFill patternType="solid">
        <fgColor rgb="00F0FDFA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4" fontId="0" fillId="3" borderId="1" pivotButton="0" quotePrefix="0" xfId="0"/>
    <xf numFmtId="9" fontId="0" fillId="3" borderId="1" applyAlignment="1" pivotButton="0" quotePrefix="0" xfId="0">
      <alignment horizontal="center" vertical="center" wrapText="1"/>
    </xf>
    <xf numFmtId="164" fontId="0" fillId="0" borderId="1" pivotButton="0" quotePrefix="0" xfId="0"/>
    <xf numFmtId="164" fontId="3" fillId="0" borderId="1" pivotButton="0" quotePrefix="0" xfId="0"/>
    <xf numFmtId="0" fontId="0" fillId="4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0" fillId="5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4" fillId="6" borderId="1" pivotButton="0" quotePrefix="0" xfId="0"/>
    <xf numFmtId="164" fontId="4" fillId="6" borderId="1" pivotButton="0" quotePrefix="0" xfId="0"/>
    <xf numFmtId="0" fontId="1" fillId="0" borderId="0" pivotButton="0" quotePrefix="0" xfId="0"/>
    <xf numFmtId="0" fontId="2" fillId="7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center" vertical="center" wrapText="1"/>
    </xf>
    <xf numFmtId="9" fontId="0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9" fontId="0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0" fillId="8" borderId="1" pivotButton="0" quotePrefix="0" xfId="0"/>
    <xf numFmtId="0" fontId="4" fillId="8" borderId="1" applyAlignment="1" pivotButton="0" quotePrefix="0" xfId="0">
      <alignment horizontal="center" vertical="center" wrapText="1"/>
    </xf>
    <xf numFmtId="164" fontId="0" fillId="8" borderId="1" pivotButton="0" quotePrefix="0" xfId="0"/>
    <xf numFmtId="164" fontId="4" fillId="5" borderId="1" applyAlignment="1" pivotButton="0" quotePrefix="0" xfId="0">
      <alignment horizontal="center" vertical="center" wrapText="1"/>
    </xf>
    <xf numFmtId="164" fontId="0" fillId="5" borderId="1" pivotButton="0" quotePrefix="0" xfId="0"/>
    <xf numFmtId="164" fontId="4" fillId="8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4" fillId="8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9240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Totaalbedrag per categorie (excl. btw)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'Dashboard'!$D$4:$D$13</f>
            </numRef>
          </cat>
          <val>
            <numRef>
              <f>'Dashboard'!$E$4:$E$13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Orderwaarde per maand 2026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'Dashboard'!E16</f>
            </strRef>
          </tx>
          <spPr>
            <a:ln xmlns:a="http://schemas.openxmlformats.org/drawingml/2006/main" w="25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'Dashboard'!$D$17:$D$20</f>
            </numRef>
          </cat>
          <val>
            <numRef>
              <f>'Dashboard'!$E$17:$E$20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Maand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Statusverdeling inkooporders</a:t>
            </a:r>
          </a:p>
        </rich>
      </tx>
    </title>
    <plotArea>
      <pieChart>
        <varyColors val="1"/>
        <ser>
          <idx val="0"/>
          <order val="0"/>
          <tx>
            <strRef>
              <f>'Dashboard'!E23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'Dashboard'!$D$24:$D$27</f>
            </numRef>
          </cat>
          <val>
            <numRef>
              <f>'Dashboard'!$E$24:$E$27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38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6" customWidth="1" min="1" max="1"/>
    <col width="13" customWidth="1" min="2" max="2"/>
    <col width="24" customWidth="1" min="3" max="3"/>
    <col width="12" customWidth="1" min="4" max="4"/>
    <col width="15" customWidth="1" min="5" max="5"/>
    <col width="26" customWidth="1" min="6" max="6"/>
    <col width="16" customWidth="1" min="7" max="7"/>
    <col width="8" customWidth="1" min="8" max="8"/>
    <col width="16" customWidth="1" min="9" max="9"/>
    <col width="10" customWidth="1" min="10" max="10"/>
    <col width="10" customWidth="1" min="11" max="11"/>
    <col width="15" customWidth="1" min="12" max="12"/>
    <col width="14" customWidth="1" min="13" max="13"/>
    <col width="13" customWidth="1" min="14" max="14"/>
    <col width="15" customWidth="1" min="15" max="15"/>
    <col width="15" customWidth="1" min="16" max="16"/>
    <col width="16" customWidth="1" min="17" max="17"/>
    <col width="10" customWidth="1" min="18" max="18"/>
    <col width="26" customWidth="1" min="19" max="19"/>
  </cols>
  <sheetData>
    <row r="1" ht="24" customHeight="1">
      <c r="A1" s="1" t="inlineStr">
        <is>
          <t>Inkooporder Overzicht 2026</t>
        </is>
      </c>
    </row>
    <row r="2"/>
    <row r="3" ht="32" customHeight="1">
      <c r="A3" s="2" t="inlineStr">
        <is>
          <t>Inkooporder-ID</t>
        </is>
      </c>
      <c r="B3" s="2" t="inlineStr">
        <is>
          <t>Orderdatum</t>
        </is>
      </c>
      <c r="C3" s="2" t="inlineStr">
        <is>
          <t>Leveranciersnaam</t>
        </is>
      </c>
      <c r="D3" s="2" t="inlineStr">
        <is>
          <t>KVK-nummer</t>
        </is>
      </c>
      <c r="E3" s="2" t="inlineStr">
        <is>
          <t>Contactpersoon</t>
        </is>
      </c>
      <c r="F3" s="2" t="inlineStr">
        <is>
          <t>Artikel / dienst</t>
        </is>
      </c>
      <c r="G3" s="2" t="inlineStr">
        <is>
          <t>Categorie</t>
        </is>
      </c>
      <c r="H3" s="2" t="inlineStr">
        <is>
          <t>Aantal</t>
        </is>
      </c>
      <c r="I3" s="2" t="inlineStr">
        <is>
          <t>Eenheidsprijs excl. btw</t>
        </is>
      </c>
      <c r="J3" s="2" t="inlineStr">
        <is>
          <t>Korting %</t>
        </is>
      </c>
      <c r="K3" s="2" t="inlineStr">
        <is>
          <t>Btw-tarief</t>
        </is>
      </c>
      <c r="L3" s="2" t="inlineStr">
        <is>
          <t>Bedrag excl. btw</t>
        </is>
      </c>
      <c r="M3" s="2" t="inlineStr">
        <is>
          <t>Korting bedrag</t>
        </is>
      </c>
      <c r="N3" s="2" t="inlineStr">
        <is>
          <t>Btw-bedrag</t>
        </is>
      </c>
      <c r="O3" s="2" t="inlineStr">
        <is>
          <t>Totaal incl. btw</t>
        </is>
      </c>
      <c r="P3" s="2" t="inlineStr">
        <is>
          <t>Status</t>
        </is>
      </c>
      <c r="Q3" s="2" t="inlineStr">
        <is>
          <t>Verwachte leverdatum</t>
        </is>
      </c>
      <c r="R3" s="2" t="inlineStr">
        <is>
          <t>Betaald?</t>
        </is>
      </c>
      <c r="S3" s="2" t="inlineStr">
        <is>
          <t>Opmerking</t>
        </is>
      </c>
    </row>
    <row r="4">
      <c r="A4" s="3" t="inlineStr">
        <is>
          <t>PO-2026-001</t>
        </is>
      </c>
      <c r="B4" s="4" t="inlineStr">
        <is>
          <t>03-01-2026</t>
        </is>
      </c>
      <c r="C4" s="3" t="inlineStr">
        <is>
          <t>Van Dijk Office Supplies</t>
        </is>
      </c>
      <c r="D4" s="5">
        <f>IFERROR(VLOOKUP(C4,Leveranciers!$A$4:$J$13,6,FALSE),"Onbekend")</f>
        <v/>
      </c>
      <c r="E4" s="5">
        <f>IFERROR(VLOOKUP(C4,Leveranciers!$A$4:$J$13,2,FALSE),"Onbekend")</f>
        <v/>
      </c>
      <c r="F4" s="3" t="inlineStr">
        <is>
          <t>Printerpapier A4</t>
        </is>
      </c>
      <c r="G4" s="3" t="inlineStr">
        <is>
          <t>kantoorartikelen</t>
        </is>
      </c>
      <c r="H4" s="6" t="n">
        <v>25</v>
      </c>
      <c r="I4" s="7" t="n">
        <v>4.95</v>
      </c>
      <c r="J4" s="8" t="n">
        <v>0</v>
      </c>
      <c r="K4" s="8" t="n">
        <v>0.21</v>
      </c>
      <c r="L4" s="9">
        <f>H4*I4</f>
        <v/>
      </c>
      <c r="M4" s="9">
        <f>L4*J4</f>
        <v/>
      </c>
      <c r="N4" s="9">
        <f>(L4-M4)*K4</f>
        <v/>
      </c>
      <c r="O4" s="10">
        <f>(L4-M4)+N4</f>
        <v/>
      </c>
      <c r="P4" s="6" t="inlineStr">
        <is>
          <t>Afgerond</t>
        </is>
      </c>
      <c r="Q4" s="4" t="inlineStr">
        <is>
          <t>10-01-2026</t>
        </is>
      </c>
      <c r="R4" s="5">
        <f>IF(P4="Afgerond","Ja","Nee")</f>
        <v/>
      </c>
      <c r="S4" s="11" t="inlineStr">
        <is>
          <t>Levering compleet ontvangen</t>
        </is>
      </c>
    </row>
    <row r="5">
      <c r="A5" s="12" t="inlineStr">
        <is>
          <t>PO-2026-002</t>
        </is>
      </c>
      <c r="B5" s="13" t="inlineStr">
        <is>
          <t>10-01-2026</t>
        </is>
      </c>
      <c r="C5" s="12" t="inlineStr">
        <is>
          <t>Bakker IT Services</t>
        </is>
      </c>
      <c r="D5" s="5">
        <f>IFERROR(VLOOKUP(C5,Leveranciers!$A$4:$J$13,6,FALSE),"Onbekend")</f>
        <v/>
      </c>
      <c r="E5" s="5">
        <f>IFERROR(VLOOKUP(C5,Leveranciers!$A$4:$J$13,2,FALSE),"Onbekend")</f>
        <v/>
      </c>
      <c r="F5" s="12" t="inlineStr">
        <is>
          <t>Laptop docking station</t>
        </is>
      </c>
      <c r="G5" s="12" t="inlineStr">
        <is>
          <t>ICT</t>
        </is>
      </c>
      <c r="H5" s="6" t="n">
        <v>4</v>
      </c>
      <c r="I5" s="7" t="n">
        <v>89</v>
      </c>
      <c r="J5" s="8" t="n">
        <v>0.05</v>
      </c>
      <c r="K5" s="8" t="n">
        <v>0.21</v>
      </c>
      <c r="L5" s="9">
        <f>H5*I5</f>
        <v/>
      </c>
      <c r="M5" s="9">
        <f>L5*J5</f>
        <v/>
      </c>
      <c r="N5" s="9">
        <f>(L5-M5)*K5</f>
        <v/>
      </c>
      <c r="O5" s="10">
        <f>(L5-M5)+N5</f>
        <v/>
      </c>
      <c r="P5" s="6" t="inlineStr">
        <is>
          <t>Afgerond</t>
        </is>
      </c>
      <c r="Q5" s="13" t="inlineStr">
        <is>
          <t>17-01-2026</t>
        </is>
      </c>
      <c r="R5" s="5">
        <f>IF(P5="Afgerond","Ja","Nee")</f>
        <v/>
      </c>
      <c r="S5" s="14" t="inlineStr">
        <is>
          <t>Garantie 2 jaar</t>
        </is>
      </c>
    </row>
    <row r="6">
      <c r="A6" s="3" t="inlineStr">
        <is>
          <t>PO-2026-003</t>
        </is>
      </c>
      <c r="B6" s="4" t="inlineStr">
        <is>
          <t>18-01-2026</t>
        </is>
      </c>
      <c r="C6" s="3" t="inlineStr">
        <is>
          <t>Jansen Verpakking BV</t>
        </is>
      </c>
      <c r="D6" s="5">
        <f>IFERROR(VLOOKUP(C6,Leveranciers!$A$4:$J$13,6,FALSE),"Onbekend")</f>
        <v/>
      </c>
      <c r="E6" s="5">
        <f>IFERROR(VLOOKUP(C6,Leveranciers!$A$4:$J$13,2,FALSE),"Onbekend")</f>
        <v/>
      </c>
      <c r="F6" s="3" t="inlineStr">
        <is>
          <t>Verzenddozen M</t>
        </is>
      </c>
      <c r="G6" s="3" t="inlineStr">
        <is>
          <t>verpakkingen</t>
        </is>
      </c>
      <c r="H6" s="6" t="n">
        <v>120</v>
      </c>
      <c r="I6" s="7" t="n">
        <v>1.15</v>
      </c>
      <c r="J6" s="8" t="n">
        <v>0</v>
      </c>
      <c r="K6" s="8" t="n">
        <v>0.21</v>
      </c>
      <c r="L6" s="9">
        <f>H6*I6</f>
        <v/>
      </c>
      <c r="M6" s="9">
        <f>L6*J6</f>
        <v/>
      </c>
      <c r="N6" s="9">
        <f>(L6-M6)*K6</f>
        <v/>
      </c>
      <c r="O6" s="10">
        <f>(L6-M6)+N6</f>
        <v/>
      </c>
      <c r="P6" s="6" t="inlineStr">
        <is>
          <t>Open</t>
        </is>
      </c>
      <c r="Q6" s="4" t="inlineStr">
        <is>
          <t>01-02-2026</t>
        </is>
      </c>
      <c r="R6" s="5">
        <f>IF(P6="Afgerond","Ja","Nee")</f>
        <v/>
      </c>
      <c r="S6" s="11" t="inlineStr">
        <is>
          <t>Spoedbestelling</t>
        </is>
      </c>
    </row>
    <row r="7">
      <c r="A7" s="12" t="inlineStr">
        <is>
          <t>PO-2026-004</t>
        </is>
      </c>
      <c r="B7" s="13" t="inlineStr">
        <is>
          <t>02-02-2026</t>
        </is>
      </c>
      <c r="C7" s="12" t="inlineStr">
        <is>
          <t>De Boer Facility</t>
        </is>
      </c>
      <c r="D7" s="5">
        <f>IFERROR(VLOOKUP(C7,Leveranciers!$A$4:$J$13,6,FALSE),"Onbekend")</f>
        <v/>
      </c>
      <c r="E7" s="5">
        <f>IFERROR(VLOOKUP(C7,Leveranciers!$A$4:$J$13,2,FALSE),"Onbekend")</f>
        <v/>
      </c>
      <c r="F7" s="12" t="inlineStr">
        <is>
          <t>Schoonmaakmiddelen pakket</t>
        </is>
      </c>
      <c r="G7" s="12" t="inlineStr">
        <is>
          <t>facilitaire dienst</t>
        </is>
      </c>
      <c r="H7" s="6" t="n">
        <v>10</v>
      </c>
      <c r="I7" s="7" t="n">
        <v>32.5</v>
      </c>
      <c r="J7" s="8" t="n">
        <v>0.02</v>
      </c>
      <c r="K7" s="8" t="n">
        <v>0.21</v>
      </c>
      <c r="L7" s="9">
        <f>H7*I7</f>
        <v/>
      </c>
      <c r="M7" s="9">
        <f>L7*J7</f>
        <v/>
      </c>
      <c r="N7" s="9">
        <f>(L7-M7)*K7</f>
        <v/>
      </c>
      <c r="O7" s="10">
        <f>(L7-M7)+N7</f>
        <v/>
      </c>
      <c r="P7" s="6" t="inlineStr">
        <is>
          <t>In behandeling</t>
        </is>
      </c>
      <c r="Q7" s="13" t="inlineStr">
        <is>
          <t>16-02-2026</t>
        </is>
      </c>
      <c r="R7" s="5">
        <f>IF(P7="Afgerond","Ja","Nee")</f>
        <v/>
      </c>
      <c r="S7" s="14" t="inlineStr">
        <is>
          <t>Maandelijkse levering</t>
        </is>
      </c>
    </row>
    <row r="8">
      <c r="A8" s="3" t="inlineStr">
        <is>
          <t>PO-2026-005</t>
        </is>
      </c>
      <c r="B8" s="4" t="inlineStr">
        <is>
          <t>14-02-2026</t>
        </is>
      </c>
      <c r="C8" s="3" t="inlineStr">
        <is>
          <t>Visser Kantoorinrichting</t>
        </is>
      </c>
      <c r="D8" s="5">
        <f>IFERROR(VLOOKUP(C8,Leveranciers!$A$4:$J$13,6,FALSE),"Onbekend")</f>
        <v/>
      </c>
      <c r="E8" s="5">
        <f>IFERROR(VLOOKUP(C8,Leveranciers!$A$4:$J$13,2,FALSE),"Onbekend")</f>
        <v/>
      </c>
      <c r="F8" s="3" t="inlineStr">
        <is>
          <t>Bureaustoel ergonomisch</t>
        </is>
      </c>
      <c r="G8" s="3" t="inlineStr">
        <is>
          <t>meubilair</t>
        </is>
      </c>
      <c r="H8" s="6" t="n">
        <v>6</v>
      </c>
      <c r="I8" s="7" t="n">
        <v>219</v>
      </c>
      <c r="J8" s="8" t="n">
        <v>0.07000000000000001</v>
      </c>
      <c r="K8" s="8" t="n">
        <v>0.21</v>
      </c>
      <c r="L8" s="9">
        <f>H8*I8</f>
        <v/>
      </c>
      <c r="M8" s="9">
        <f>L8*J8</f>
        <v/>
      </c>
      <c r="N8" s="9">
        <f>(L8-M8)*K8</f>
        <v/>
      </c>
      <c r="O8" s="10">
        <f>(L8-M8)+N8</f>
        <v/>
      </c>
      <c r="P8" s="6" t="inlineStr">
        <is>
          <t>Afgerond</t>
        </is>
      </c>
      <c r="Q8" s="4" t="inlineStr">
        <is>
          <t>28-02-2026</t>
        </is>
      </c>
      <c r="R8" s="5">
        <f>IF(P8="Afgerond","Ja","Nee")</f>
        <v/>
      </c>
      <c r="S8" s="11" t="inlineStr">
        <is>
          <t>Nieuwe medewerkers</t>
        </is>
      </c>
    </row>
    <row r="9">
      <c r="A9" s="12" t="inlineStr">
        <is>
          <t>PO-2026-006</t>
        </is>
      </c>
      <c r="B9" s="13" t="inlineStr">
        <is>
          <t>01-03-2026</t>
        </is>
      </c>
      <c r="C9" s="12" t="inlineStr">
        <is>
          <t>Mulder Logistiek</t>
        </is>
      </c>
      <c r="D9" s="5">
        <f>IFERROR(VLOOKUP(C9,Leveranciers!$A$4:$J$13,6,FALSE),"Onbekend")</f>
        <v/>
      </c>
      <c r="E9" s="5">
        <f>IFERROR(VLOOKUP(C9,Leveranciers!$A$4:$J$13,2,FALSE),"Onbekend")</f>
        <v/>
      </c>
      <c r="F9" s="12" t="inlineStr">
        <is>
          <t>Pallettransport</t>
        </is>
      </c>
      <c r="G9" s="12" t="inlineStr">
        <is>
          <t>logistiek</t>
        </is>
      </c>
      <c r="H9" s="6" t="n">
        <v>3</v>
      </c>
      <c r="I9" s="7" t="n">
        <v>145</v>
      </c>
      <c r="J9" s="8" t="n">
        <v>0</v>
      </c>
      <c r="K9" s="8" t="n">
        <v>0.21</v>
      </c>
      <c r="L9" s="9">
        <f>H9*I9</f>
        <v/>
      </c>
      <c r="M9" s="9">
        <f>L9*J9</f>
        <v/>
      </c>
      <c r="N9" s="9">
        <f>(L9-M9)*K9</f>
        <v/>
      </c>
      <c r="O9" s="10">
        <f>(L9-M9)+N9</f>
        <v/>
      </c>
      <c r="P9" s="6" t="inlineStr">
        <is>
          <t>Open</t>
        </is>
      </c>
      <c r="Q9" s="13" t="inlineStr">
        <is>
          <t>08-03-2026</t>
        </is>
      </c>
      <c r="R9" s="5">
        <f>IF(P9="Afgerond","Ja","Nee")</f>
        <v/>
      </c>
      <c r="S9" s="14" t="inlineStr">
        <is>
          <t>Transport naar Rotterdam</t>
        </is>
      </c>
    </row>
    <row r="10">
      <c r="A10" s="3" t="inlineStr">
        <is>
          <t>PO-2026-007</t>
        </is>
      </c>
      <c r="B10" s="4" t="inlineStr">
        <is>
          <t>11-03-2026</t>
        </is>
      </c>
      <c r="C10" s="3" t="inlineStr">
        <is>
          <t>Smits Marketing BV</t>
        </is>
      </c>
      <c r="D10" s="5">
        <f>IFERROR(VLOOKUP(C10,Leveranciers!$A$4:$J$13,6,FALSE),"Onbekend")</f>
        <v/>
      </c>
      <c r="E10" s="5">
        <f>IFERROR(VLOOKUP(C10,Leveranciers!$A$4:$J$13,2,FALSE),"Onbekend")</f>
        <v/>
      </c>
      <c r="F10" s="3" t="inlineStr">
        <is>
          <t>Drukwerk brochures</t>
        </is>
      </c>
      <c r="G10" s="3" t="inlineStr">
        <is>
          <t>marketing</t>
        </is>
      </c>
      <c r="H10" s="6" t="n">
        <v>500</v>
      </c>
      <c r="I10" s="7" t="n">
        <v>0.68</v>
      </c>
      <c r="J10" s="8" t="n">
        <v>0.1</v>
      </c>
      <c r="K10" s="8" t="n">
        <v>0.21</v>
      </c>
      <c r="L10" s="9">
        <f>H10*I10</f>
        <v/>
      </c>
      <c r="M10" s="9">
        <f>L10*J10</f>
        <v/>
      </c>
      <c r="N10" s="9">
        <f>(L10-M10)*K10</f>
        <v/>
      </c>
      <c r="O10" s="10">
        <f>(L10-M10)+N10</f>
        <v/>
      </c>
      <c r="P10" s="6" t="inlineStr">
        <is>
          <t>In behandeling</t>
        </is>
      </c>
      <c r="Q10" s="4" t="inlineStr">
        <is>
          <t>25-03-2026</t>
        </is>
      </c>
      <c r="R10" s="5">
        <f>IF(P10="Afgerond","Ja","Nee")</f>
        <v/>
      </c>
      <c r="S10" s="11" t="inlineStr">
        <is>
          <t>Beursmateriaal</t>
        </is>
      </c>
    </row>
    <row r="11">
      <c r="A11" s="12" t="inlineStr">
        <is>
          <t>PO-2026-008</t>
        </is>
      </c>
      <c r="B11" s="13" t="inlineStr">
        <is>
          <t>24-03-2026</t>
        </is>
      </c>
      <c r="C11" s="12" t="inlineStr">
        <is>
          <t>De Wit Consultancy</t>
        </is>
      </c>
      <c r="D11" s="5">
        <f>IFERROR(VLOOKUP(C11,Leveranciers!$A$4:$J$13,6,FALSE),"Onbekend")</f>
        <v/>
      </c>
      <c r="E11" s="5">
        <f>IFERROR(VLOOKUP(C11,Leveranciers!$A$4:$J$13,2,FALSE),"Onbekend")</f>
        <v/>
      </c>
      <c r="F11" s="12" t="inlineStr">
        <is>
          <t>Adviesuren procesoptimalisatie</t>
        </is>
      </c>
      <c r="G11" s="12" t="inlineStr">
        <is>
          <t>consultancy</t>
        </is>
      </c>
      <c r="H11" s="6" t="n">
        <v>12</v>
      </c>
      <c r="I11" s="7" t="n">
        <v>95</v>
      </c>
      <c r="J11" s="8" t="n">
        <v>0</v>
      </c>
      <c r="K11" s="8" t="n">
        <v>0.21</v>
      </c>
      <c r="L11" s="9">
        <f>H11*I11</f>
        <v/>
      </c>
      <c r="M11" s="9">
        <f>L11*J11</f>
        <v/>
      </c>
      <c r="N11" s="9">
        <f>(L11-M11)*K11</f>
        <v/>
      </c>
      <c r="O11" s="10">
        <f>(L11-M11)+N11</f>
        <v/>
      </c>
      <c r="P11" s="6" t="inlineStr">
        <is>
          <t>Afgerond</t>
        </is>
      </c>
      <c r="Q11" s="13" t="inlineStr">
        <is>
          <t>31-03-2026</t>
        </is>
      </c>
      <c r="R11" s="5">
        <f>IF(P11="Afgerond","Ja","Nee")</f>
        <v/>
      </c>
      <c r="S11" s="14" t="inlineStr">
        <is>
          <t>Project fase 1</t>
        </is>
      </c>
    </row>
    <row r="12">
      <c r="A12" s="3" t="inlineStr">
        <is>
          <t>PO-2026-009</t>
        </is>
      </c>
      <c r="B12" s="4" t="inlineStr">
        <is>
          <t>07-04-2026</t>
        </is>
      </c>
      <c r="C12" s="3" t="inlineStr">
        <is>
          <t>Bos Energie</t>
        </is>
      </c>
      <c r="D12" s="5">
        <f>IFERROR(VLOOKUP(C12,Leveranciers!$A$4:$J$13,6,FALSE),"Onbekend")</f>
        <v/>
      </c>
      <c r="E12" s="5">
        <f>IFERROR(VLOOKUP(C12,Leveranciers!$A$4:$J$13,2,FALSE),"Onbekend")</f>
        <v/>
      </c>
      <c r="F12" s="3" t="inlineStr">
        <is>
          <t>LED-armaturen</t>
        </is>
      </c>
      <c r="G12" s="3" t="inlineStr">
        <is>
          <t>onderhoud</t>
        </is>
      </c>
      <c r="H12" s="6" t="n">
        <v>8</v>
      </c>
      <c r="I12" s="7" t="n">
        <v>74.5</v>
      </c>
      <c r="J12" s="8" t="n">
        <v>0.03</v>
      </c>
      <c r="K12" s="8" t="n">
        <v>0.21</v>
      </c>
      <c r="L12" s="9">
        <f>H12*I12</f>
        <v/>
      </c>
      <c r="M12" s="9">
        <f>L12*J12</f>
        <v/>
      </c>
      <c r="N12" s="9">
        <f>(L12-M12)*K12</f>
        <v/>
      </c>
      <c r="O12" s="10">
        <f>(L12-M12)+N12</f>
        <v/>
      </c>
      <c r="P12" s="6" t="inlineStr">
        <is>
          <t>Geannuleerd</t>
        </is>
      </c>
      <c r="Q12" s="4" t="inlineStr">
        <is>
          <t>21-04-2026</t>
        </is>
      </c>
      <c r="R12" s="5">
        <f>IF(P12="Afgerond","Ja","Nee")</f>
        <v/>
      </c>
      <c r="S12" s="11" t="inlineStr">
        <is>
          <t>Vervangen door leverancier</t>
        </is>
      </c>
    </row>
    <row r="13">
      <c r="A13" s="12" t="inlineStr">
        <is>
          <t>PO-2026-010</t>
        </is>
      </c>
      <c r="B13" s="13" t="inlineStr">
        <is>
          <t>19-04-2026</t>
        </is>
      </c>
      <c r="C13" s="12" t="inlineStr">
        <is>
          <t>Van Leeuwen Catering</t>
        </is>
      </c>
      <c r="D13" s="5">
        <f>IFERROR(VLOOKUP(C13,Leveranciers!$A$4:$J$13,6,FALSE),"Onbekend")</f>
        <v/>
      </c>
      <c r="E13" s="5">
        <f>IFERROR(VLOOKUP(C13,Leveranciers!$A$4:$J$13,2,FALSE),"Onbekend")</f>
        <v/>
      </c>
      <c r="F13" s="12" t="inlineStr">
        <is>
          <t>Lunch catering kantoor</t>
        </is>
      </c>
      <c r="G13" s="12" t="inlineStr">
        <is>
          <t>catering</t>
        </is>
      </c>
      <c r="H13" s="6" t="n">
        <v>15</v>
      </c>
      <c r="I13" s="7" t="n">
        <v>12.5</v>
      </c>
      <c r="J13" s="8" t="n">
        <v>0</v>
      </c>
      <c r="K13" s="8" t="n">
        <v>0.09</v>
      </c>
      <c r="L13" s="9">
        <f>H13*I13</f>
        <v/>
      </c>
      <c r="M13" s="9">
        <f>L13*J13</f>
        <v/>
      </c>
      <c r="N13" s="9">
        <f>(L13-M13)*K13</f>
        <v/>
      </c>
      <c r="O13" s="10">
        <f>(L13-M13)+N13</f>
        <v/>
      </c>
      <c r="P13" s="6" t="inlineStr">
        <is>
          <t>Open</t>
        </is>
      </c>
      <c r="Q13" s="13" t="inlineStr">
        <is>
          <t>26-04-2026</t>
        </is>
      </c>
      <c r="R13" s="5">
        <f>IF(P13="Afgerond","Ja","Nee")</f>
        <v/>
      </c>
      <c r="S13" s="14" t="inlineStr">
        <is>
          <t>Wekelijkse bestelling</t>
        </is>
      </c>
    </row>
    <row r="14"/>
    <row r="15">
      <c r="F15" s="15" t="inlineStr">
        <is>
          <t>TOTALEN</t>
        </is>
      </c>
      <c r="L15" s="16">
        <f>SUM(L4:L13)</f>
        <v/>
      </c>
      <c r="M15" s="16">
        <f>SUM(M4:M13)</f>
        <v/>
      </c>
      <c r="N15" s="16">
        <f>SUM(N4:N13)</f>
        <v/>
      </c>
      <c r="O15" s="16">
        <f>SUM(O4:O13)</f>
        <v/>
      </c>
    </row>
  </sheetData>
  <mergeCells count="1">
    <mergeCell ref="A1:S1"/>
  </mergeCells>
  <conditionalFormatting sqref="P4:P13">
    <cfRule type="expression" priority="1" dxfId="0" stopIfTrue="1">
      <formula>P4="Afgerond"</formula>
    </cfRule>
    <cfRule type="expression" priority="2" dxfId="1" stopIfTrue="1">
      <formula>P4="Geannuleerd"</formula>
    </cfRule>
    <cfRule type="expression" priority="3" dxfId="2" stopIfTrue="1">
      <formula>P4="Open"</formula>
    </cfRule>
  </conditionalFormatting>
  <conditionalFormatting sqref="R4:R13">
    <cfRule type="expression" priority="4" dxfId="0" stopIfTrue="1">
      <formula>R4="Ja"</formula>
    </cfRule>
    <cfRule type="expression" priority="5" dxfId="1" stopIfTrue="1">
      <formula>R4="Nee"</formula>
    </cfRule>
  </conditionalFormatting>
  <dataValidations count="1">
    <dataValidation sqref="P4:P13" showErrorMessage="1" showInputMessage="1" allowBlank="1" type="list">
      <formula1>"Open,In behandeling,Afgerond,Geannuleerd"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26" customWidth="1" min="3" max="3"/>
    <col width="14" customWidth="1" min="4" max="4"/>
    <col width="14" customWidth="1" min="5" max="5"/>
    <col width="12" customWidth="1" min="6" max="6"/>
    <col width="16" customWidth="1" min="7" max="7"/>
    <col width="20" customWidth="1" min="8" max="8"/>
    <col width="16" customWidth="1" min="9" max="9"/>
    <col width="10" customWidth="1" min="10" max="10"/>
  </cols>
  <sheetData>
    <row r="1" ht="24" customHeight="1">
      <c r="A1" s="17" t="inlineStr">
        <is>
          <t>Leveranciers Stamgegevens</t>
        </is>
      </c>
    </row>
    <row r="2"/>
    <row r="3" ht="32" customHeight="1">
      <c r="A3" s="18" t="inlineStr">
        <is>
          <t>Leveranciersnaam</t>
        </is>
      </c>
      <c r="B3" s="18" t="inlineStr">
        <is>
          <t>Contactpersoon</t>
        </is>
      </c>
      <c r="C3" s="18" t="inlineStr">
        <is>
          <t>E-mail</t>
        </is>
      </c>
      <c r="D3" s="18" t="inlineStr">
        <is>
          <t>Telefoon</t>
        </is>
      </c>
      <c r="E3" s="18" t="inlineStr">
        <is>
          <t>Plaats</t>
        </is>
      </c>
      <c r="F3" s="18" t="inlineStr">
        <is>
          <t>KVK-nummer</t>
        </is>
      </c>
      <c r="G3" s="18" t="inlineStr">
        <is>
          <t>btw-nummer</t>
        </is>
      </c>
      <c r="H3" s="18" t="inlineStr">
        <is>
          <t>Betalingstermijn (dagen)</t>
        </is>
      </c>
      <c r="I3" s="18" t="inlineStr">
        <is>
          <t>Standaard btw-tarief</t>
        </is>
      </c>
      <c r="J3" s="18" t="inlineStr">
        <is>
          <t>Status</t>
        </is>
      </c>
    </row>
    <row r="4">
      <c r="A4" s="19" t="inlineStr">
        <is>
          <t>Van Dijk Office Supplies</t>
        </is>
      </c>
      <c r="B4" s="19" t="inlineStr">
        <is>
          <t>Emma de Groot</t>
        </is>
      </c>
      <c r="C4" s="19" t="inlineStr">
        <is>
          <t>emma@vandijkoffice.nl</t>
        </is>
      </c>
      <c r="D4" s="19" t="inlineStr">
        <is>
          <t>020-1234567</t>
        </is>
      </c>
      <c r="E4" s="19" t="inlineStr">
        <is>
          <t>Amsterdam</t>
        </is>
      </c>
      <c r="F4" s="20" t="n">
        <v>12345678</v>
      </c>
      <c r="G4" s="19" t="inlineStr">
        <is>
          <t>NL001234567B01</t>
        </is>
      </c>
      <c r="H4" s="20" t="n">
        <v>30</v>
      </c>
      <c r="I4" s="21" t="n">
        <v>0.21</v>
      </c>
      <c r="J4" s="22" t="inlineStr">
        <is>
          <t>Actief</t>
        </is>
      </c>
    </row>
    <row r="5">
      <c r="A5" s="14" t="inlineStr">
        <is>
          <t>Bakker IT Services</t>
        </is>
      </c>
      <c r="B5" s="14" t="inlineStr">
        <is>
          <t>Daan Bakker</t>
        </is>
      </c>
      <c r="C5" s="14" t="inlineStr">
        <is>
          <t>daan@bakkerit.nl</t>
        </is>
      </c>
      <c r="D5" s="14" t="inlineStr">
        <is>
          <t>010-2345678</t>
        </is>
      </c>
      <c r="E5" s="14" t="inlineStr">
        <is>
          <t>Rotterdam</t>
        </is>
      </c>
      <c r="F5" s="13" t="n">
        <v>87654321</v>
      </c>
      <c r="G5" s="14" t="inlineStr">
        <is>
          <t>NL002345678B02</t>
        </is>
      </c>
      <c r="H5" s="13" t="n">
        <v>14</v>
      </c>
      <c r="I5" s="23" t="n">
        <v>0.21</v>
      </c>
      <c r="J5" s="24" t="inlineStr">
        <is>
          <t>Actief</t>
        </is>
      </c>
    </row>
    <row r="6">
      <c r="A6" s="19" t="inlineStr">
        <is>
          <t>Jansen Verpakking BV</t>
        </is>
      </c>
      <c r="B6" s="19" t="inlineStr">
        <is>
          <t>Sophie Jansen</t>
        </is>
      </c>
      <c r="C6" s="19" t="inlineStr">
        <is>
          <t>sophie@jansenverpakking.nl</t>
        </is>
      </c>
      <c r="D6" s="19" t="inlineStr">
        <is>
          <t>030-3456789</t>
        </is>
      </c>
      <c r="E6" s="19" t="inlineStr">
        <is>
          <t>Utrecht</t>
        </is>
      </c>
      <c r="F6" s="20" t="n">
        <v>23456789</v>
      </c>
      <c r="G6" s="19" t="inlineStr">
        <is>
          <t>NL003456789B03</t>
        </is>
      </c>
      <c r="H6" s="20" t="n">
        <v>30</v>
      </c>
      <c r="I6" s="21" t="n">
        <v>0.21</v>
      </c>
      <c r="J6" s="22" t="inlineStr">
        <is>
          <t>Actief</t>
        </is>
      </c>
    </row>
    <row r="7">
      <c r="A7" s="14" t="inlineStr">
        <is>
          <t>De Boer Facility</t>
        </is>
      </c>
      <c r="B7" s="14" t="inlineStr">
        <is>
          <t>Lars de Boer</t>
        </is>
      </c>
      <c r="C7" s="14" t="inlineStr">
        <is>
          <t>lars@deboerfacility.nl</t>
        </is>
      </c>
      <c r="D7" s="14" t="inlineStr">
        <is>
          <t>040-4567890</t>
        </is>
      </c>
      <c r="E7" s="14" t="inlineStr">
        <is>
          <t>Eindhoven</t>
        </is>
      </c>
      <c r="F7" s="13" t="n">
        <v>34567890</v>
      </c>
      <c r="G7" s="14" t="inlineStr">
        <is>
          <t>NL004567890B04</t>
        </is>
      </c>
      <c r="H7" s="13" t="n">
        <v>30</v>
      </c>
      <c r="I7" s="23" t="n">
        <v>0.21</v>
      </c>
      <c r="J7" s="24" t="inlineStr">
        <is>
          <t>Actief</t>
        </is>
      </c>
    </row>
    <row r="8">
      <c r="A8" s="19" t="inlineStr">
        <is>
          <t>Visser Kantoorinrichting</t>
        </is>
      </c>
      <c r="B8" s="19" t="inlineStr">
        <is>
          <t>Julia Visser</t>
        </is>
      </c>
      <c r="C8" s="19" t="inlineStr">
        <is>
          <t>julia@visserkantoor.nl</t>
        </is>
      </c>
      <c r="D8" s="19" t="inlineStr">
        <is>
          <t>050-5678901</t>
        </is>
      </c>
      <c r="E8" s="19" t="inlineStr">
        <is>
          <t>Groningen</t>
        </is>
      </c>
      <c r="F8" s="20" t="n">
        <v>45678901</v>
      </c>
      <c r="G8" s="19" t="inlineStr">
        <is>
          <t>NL005678901B05</t>
        </is>
      </c>
      <c r="H8" s="20" t="n">
        <v>45</v>
      </c>
      <c r="I8" s="21" t="n">
        <v>0.21</v>
      </c>
      <c r="J8" s="22" t="inlineStr">
        <is>
          <t>Actief</t>
        </is>
      </c>
    </row>
    <row r="9">
      <c r="A9" s="14" t="inlineStr">
        <is>
          <t>Mulder Logistiek</t>
        </is>
      </c>
      <c r="B9" s="14" t="inlineStr">
        <is>
          <t>Thijs Mulder</t>
        </is>
      </c>
      <c r="C9" s="14" t="inlineStr">
        <is>
          <t>thijs@mulderlogistiek.nl</t>
        </is>
      </c>
      <c r="D9" s="14" t="inlineStr">
        <is>
          <t>070-6789012</t>
        </is>
      </c>
      <c r="E9" s="14" t="inlineStr">
        <is>
          <t>Den Haag</t>
        </is>
      </c>
      <c r="F9" s="13" t="n">
        <v>56789012</v>
      </c>
      <c r="G9" s="14" t="inlineStr">
        <is>
          <t>NL006789012B06</t>
        </is>
      </c>
      <c r="H9" s="13" t="n">
        <v>30</v>
      </c>
      <c r="I9" s="23" t="n">
        <v>0.21</v>
      </c>
      <c r="J9" s="24" t="inlineStr">
        <is>
          <t>Actief</t>
        </is>
      </c>
    </row>
    <row r="10">
      <c r="A10" s="19" t="inlineStr">
        <is>
          <t>Smits Marketing BV</t>
        </is>
      </c>
      <c r="B10" s="19" t="inlineStr">
        <is>
          <t>Lieke Smits</t>
        </is>
      </c>
      <c r="C10" s="19" t="inlineStr">
        <is>
          <t>lieke@smitsmarketing.nl</t>
        </is>
      </c>
      <c r="D10" s="19" t="inlineStr">
        <is>
          <t>013-7890123</t>
        </is>
      </c>
      <c r="E10" s="19" t="inlineStr">
        <is>
          <t>Tilburg</t>
        </is>
      </c>
      <c r="F10" s="20" t="n">
        <v>67890123</v>
      </c>
      <c r="G10" s="19" t="inlineStr">
        <is>
          <t>NL007890123B07</t>
        </is>
      </c>
      <c r="H10" s="20" t="n">
        <v>14</v>
      </c>
      <c r="I10" s="21" t="n">
        <v>0.21</v>
      </c>
      <c r="J10" s="22" t="inlineStr">
        <is>
          <t>Actief</t>
        </is>
      </c>
    </row>
    <row r="11">
      <c r="A11" s="14" t="inlineStr">
        <is>
          <t>De Wit Consultancy</t>
        </is>
      </c>
      <c r="B11" s="14" t="inlineStr">
        <is>
          <t>Ruben de Wit</t>
        </is>
      </c>
      <c r="C11" s="14" t="inlineStr">
        <is>
          <t>ruben@dewitconsult.nl</t>
        </is>
      </c>
      <c r="D11" s="14" t="inlineStr">
        <is>
          <t>024-8901234</t>
        </is>
      </c>
      <c r="E11" s="14" t="inlineStr">
        <is>
          <t>Nijmegen</t>
        </is>
      </c>
      <c r="F11" s="13" t="n">
        <v>78901234</v>
      </c>
      <c r="G11" s="14" t="inlineStr">
        <is>
          <t>NL008901234B08</t>
        </is>
      </c>
      <c r="H11" s="13" t="n">
        <v>30</v>
      </c>
      <c r="I11" s="23" t="n">
        <v>0.21</v>
      </c>
      <c r="J11" s="25" t="inlineStr">
        <is>
          <t>Inactief</t>
        </is>
      </c>
    </row>
    <row r="12">
      <c r="A12" s="19" t="inlineStr">
        <is>
          <t>Bos Energie</t>
        </is>
      </c>
      <c r="B12" s="19" t="inlineStr">
        <is>
          <t>Sanne Bos</t>
        </is>
      </c>
      <c r="C12" s="19" t="inlineStr">
        <is>
          <t>sanne@bosenergie.nl</t>
        </is>
      </c>
      <c r="D12" s="19" t="inlineStr">
        <is>
          <t>020-9012345</t>
        </is>
      </c>
      <c r="E12" s="19" t="inlineStr">
        <is>
          <t>Amsterdam</t>
        </is>
      </c>
      <c r="F12" s="20" t="n">
        <v>89012345</v>
      </c>
      <c r="G12" s="19" t="inlineStr">
        <is>
          <t>NL009012345B09</t>
        </is>
      </c>
      <c r="H12" s="20" t="n">
        <v>30</v>
      </c>
      <c r="I12" s="21" t="n">
        <v>0.21</v>
      </c>
      <c r="J12" s="22" t="inlineStr">
        <is>
          <t>Actief</t>
        </is>
      </c>
    </row>
    <row r="13">
      <c r="A13" s="14" t="inlineStr">
        <is>
          <t>Van Leeuwen Catering</t>
        </is>
      </c>
      <c r="B13" s="14" t="inlineStr">
        <is>
          <t>Anne van Leeuwen</t>
        </is>
      </c>
      <c r="C13" s="14" t="inlineStr">
        <is>
          <t>anne@vanleeuwencatering.nl</t>
        </is>
      </c>
      <c r="D13" s="14" t="inlineStr">
        <is>
          <t>010-0123456</t>
        </is>
      </c>
      <c r="E13" s="14" t="inlineStr">
        <is>
          <t>Rotterdam</t>
        </is>
      </c>
      <c r="F13" s="13" t="n">
        <v>90123456</v>
      </c>
      <c r="G13" s="14" t="inlineStr">
        <is>
          <t>NL000123456B10</t>
        </is>
      </c>
      <c r="H13" s="13" t="n">
        <v>14</v>
      </c>
      <c r="I13" s="23" t="n">
        <v>0.09</v>
      </c>
      <c r="J13" s="24" t="inlineStr">
        <is>
          <t>Actief</t>
        </is>
      </c>
    </row>
    <row r="14"/>
    <row r="15">
      <c r="A15" s="26" t="inlineStr">
        <is>
          <t>Aantal actieve leveranciers:</t>
        </is>
      </c>
      <c r="B15" s="27">
        <f>COUNTIF(J4:J13,"Actief")</f>
        <v/>
      </c>
    </row>
  </sheetData>
  <mergeCells count="1">
    <mergeCell ref="A1:J1"/>
  </mergeCells>
  <dataValidations count="1">
    <dataValidation sqref="J4:J13" showErrorMessage="1" showInputMessage="1" allowBlank="1" type="list">
      <formula1>"Actief,Inactief"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7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4" max="4"/>
    <col width="18" customWidth="1" min="5" max="5"/>
  </cols>
  <sheetData>
    <row r="1" ht="24" customHeight="1">
      <c r="A1" s="17" t="inlineStr">
        <is>
          <t>Dashboard Inkooporders 2026</t>
        </is>
      </c>
    </row>
    <row r="2"/>
    <row r="3">
      <c r="A3" s="18" t="inlineStr">
        <is>
          <t>KPI</t>
        </is>
      </c>
      <c r="B3" s="18" t="inlineStr">
        <is>
          <t>Waarde</t>
        </is>
      </c>
      <c r="D3" s="18" t="inlineStr">
        <is>
          <t>Categorie</t>
        </is>
      </c>
      <c r="E3" s="18" t="inlineStr">
        <is>
          <t>Totaal excl. btw</t>
        </is>
      </c>
    </row>
    <row r="4">
      <c r="A4" s="28" t="inlineStr">
        <is>
          <t>Totaal aantal inkooporders</t>
        </is>
      </c>
      <c r="B4" s="29">
        <f>COUNTA(Inkooporders!A4:A13)</f>
        <v/>
      </c>
      <c r="D4" s="28" t="inlineStr">
        <is>
          <t>kantoorartikelen</t>
        </is>
      </c>
      <c r="E4" s="30">
        <f>IFERROR(SUMIF(Inkooporders!$G$4:$G$13,D4,Inkooporders!$L$4:$L$13),0)</f>
        <v/>
      </c>
    </row>
    <row r="5">
      <c r="A5" s="12" t="inlineStr">
        <is>
          <t>Totaal bestelbedrag excl. btw</t>
        </is>
      </c>
      <c r="B5" s="31">
        <f>SUM(Inkooporders!L4:L13)</f>
        <v/>
      </c>
      <c r="D5" s="12" t="inlineStr">
        <is>
          <t>ICT</t>
        </is>
      </c>
      <c r="E5" s="32">
        <f>IFERROR(SUMIF(Inkooporders!$G$4:$G$13,D5,Inkooporders!$L$4:$L$13),0)</f>
        <v/>
      </c>
    </row>
    <row r="6">
      <c r="A6" s="28" t="inlineStr">
        <is>
          <t>Totaal btw-bedrag</t>
        </is>
      </c>
      <c r="B6" s="33">
        <f>SUM(Inkooporders!N4:N13)</f>
        <v/>
      </c>
      <c r="D6" s="28" t="inlineStr">
        <is>
          <t>verpakkingen</t>
        </is>
      </c>
      <c r="E6" s="30">
        <f>IFERROR(SUMIF(Inkooporders!$G$4:$G$13,D6,Inkooporders!$L$4:$L$13),0)</f>
        <v/>
      </c>
    </row>
    <row r="7">
      <c r="A7" s="12" t="inlineStr">
        <is>
          <t>Totaal incl. btw</t>
        </is>
      </c>
      <c r="B7" s="34">
        <f>SUM(Inkooporders!O4:O13)</f>
        <v/>
      </c>
      <c r="D7" s="12" t="inlineStr">
        <is>
          <t>facilitaire dienst</t>
        </is>
      </c>
      <c r="E7" s="32">
        <f>IFERROR(SUMIF(Inkooporders!$G$4:$G$13,D7,Inkooporders!$L$4:$L$13),0)</f>
        <v/>
      </c>
    </row>
    <row r="8">
      <c r="A8" s="28" t="inlineStr">
        <is>
          <t>Aantal open orders</t>
        </is>
      </c>
      <c r="B8" s="29">
        <f>COUNTIF(Inkooporders!P4:P13,"Open")+COUNTIF(Inkooporders!P4:P13,"In behandeling")</f>
        <v/>
      </c>
      <c r="D8" s="28" t="inlineStr">
        <is>
          <t>meubilair</t>
        </is>
      </c>
      <c r="E8" s="30">
        <f>IFERROR(SUMIF(Inkooporders!$G$4:$G$13,D8,Inkooporders!$L$4:$L$13),0)</f>
        <v/>
      </c>
    </row>
    <row r="9">
      <c r="A9" s="12" t="inlineStr">
        <is>
          <t>Aantal afgeronde orders</t>
        </is>
      </c>
      <c r="B9" s="34">
        <f>COUNTIF(Inkooporders!P4:P13,"Afgerond")</f>
        <v/>
      </c>
      <c r="D9" s="12" t="inlineStr">
        <is>
          <t>logistiek</t>
        </is>
      </c>
      <c r="E9" s="32">
        <f>IFERROR(SUMIF(Inkooporders!$G$4:$G$13,D9,Inkooporders!$L$4:$L$13),0)</f>
        <v/>
      </c>
    </row>
    <row r="10">
      <c r="A10" s="28" t="inlineStr">
        <is>
          <t>Gemiddelde orderwaarde</t>
        </is>
      </c>
      <c r="B10" s="33">
        <f>IFERROR(AVERAGE(Inkooporders!O4:O13),0)</f>
        <v/>
      </c>
      <c r="D10" s="28" t="inlineStr">
        <is>
          <t>marketing</t>
        </is>
      </c>
      <c r="E10" s="30">
        <f>IFERROR(SUMIF(Inkooporders!$G$4:$G$13,D10,Inkooporders!$L$4:$L$13),0)</f>
        <v/>
      </c>
    </row>
    <row r="11">
      <c r="A11" s="12" t="inlineStr">
        <is>
          <t>Percentage afgeronde orders</t>
        </is>
      </c>
      <c r="B11" s="35">
        <f>IFERROR(COUNTIF(Inkooporders!P4:P13,"Afgerond")/COUNTA(Inkooporders!A4:A13),0)</f>
        <v/>
      </c>
      <c r="D11" s="12" t="inlineStr">
        <is>
          <t>consultancy</t>
        </is>
      </c>
      <c r="E11" s="32">
        <f>IFERROR(SUMIF(Inkooporders!$G$4:$G$13,D11,Inkooporders!$L$4:$L$13),0)</f>
        <v/>
      </c>
    </row>
    <row r="12">
      <c r="D12" s="28" t="inlineStr">
        <is>
          <t>onderhoud</t>
        </is>
      </c>
      <c r="E12" s="30">
        <f>IFERROR(SUMIF(Inkooporders!$G$4:$G$13,D12,Inkooporders!$L$4:$L$13),0)</f>
        <v/>
      </c>
    </row>
    <row r="13">
      <c r="A13" s="26" t="inlineStr">
        <is>
          <t>Status openstaande orders:</t>
        </is>
      </c>
      <c r="B13" s="27">
        <f>IF(B8&gt;0,"Actie vereist","Op orde")</f>
        <v/>
      </c>
      <c r="D13" s="12" t="inlineStr">
        <is>
          <t>catering</t>
        </is>
      </c>
      <c r="E13" s="32">
        <f>IFERROR(SUMIF(Inkooporders!$G$4:$G$13,D13,Inkooporders!$L$4:$L$13),0)</f>
        <v/>
      </c>
    </row>
    <row r="14"/>
    <row r="15"/>
    <row r="16">
      <c r="D16" s="18" t="inlineStr">
        <is>
          <t>Maand 2026</t>
        </is>
      </c>
      <c r="E16" s="18" t="inlineStr">
        <is>
          <t>Orderwaarde incl. btw</t>
        </is>
      </c>
    </row>
    <row r="17">
      <c r="D17" s="28" t="inlineStr">
        <is>
          <t>Januari</t>
        </is>
      </c>
      <c r="E17" s="30">
        <f>IFERROR(SUMIFS(Inkooporders!$O$4:$O$13,Inkooporders!$B$4:$B$13,"&gt;="&amp;DATE(2026,1,1),Inkooporders!$B$4:$B$13,"&lt;="&amp;DATE(2026,1,31)),0)</f>
        <v/>
      </c>
    </row>
    <row r="18">
      <c r="D18" s="12" t="inlineStr">
        <is>
          <t>Februari</t>
        </is>
      </c>
      <c r="E18" s="32">
        <f>IFERROR(SUMIFS(Inkooporders!$O$4:$O$13,Inkooporders!$B$4:$B$13,"&gt;="&amp;DATE(2026,2,1),Inkooporders!$B$4:$B$13,"&lt;="&amp;DATE(2026,2,28)),0)</f>
        <v/>
      </c>
    </row>
    <row r="19">
      <c r="D19" s="28" t="inlineStr">
        <is>
          <t>Maart</t>
        </is>
      </c>
      <c r="E19" s="30">
        <f>IFERROR(SUMIFS(Inkooporders!$O$4:$O$13,Inkooporders!$B$4:$B$13,"&gt;="&amp;DATE(2026,3,1),Inkooporders!$B$4:$B$13,"&lt;="&amp;DATE(2026,3,31)),0)</f>
        <v/>
      </c>
    </row>
    <row r="20">
      <c r="D20" s="12" t="inlineStr">
        <is>
          <t>April</t>
        </is>
      </c>
      <c r="E20" s="32">
        <f>IFERROR(SUMIFS(Inkooporders!$O$4:$O$13,Inkooporders!$B$4:$B$13,"&gt;="&amp;DATE(2026,4,1),Inkooporders!$B$4:$B$13,"&lt;="&amp;DATE(2026,4,30)),0)</f>
        <v/>
      </c>
    </row>
    <row r="21"/>
    <row r="22"/>
    <row r="23">
      <c r="D23" s="18" t="inlineStr">
        <is>
          <t>Status</t>
        </is>
      </c>
      <c r="E23" s="18" t="inlineStr">
        <is>
          <t>Aantal</t>
        </is>
      </c>
    </row>
    <row r="24">
      <c r="D24" s="28" t="inlineStr">
        <is>
          <t>Open</t>
        </is>
      </c>
      <c r="E24" s="28">
        <f>COUNTIF(Inkooporders!$P$4:$P$13,D24)</f>
        <v/>
      </c>
    </row>
    <row r="25">
      <c r="D25" s="12" t="inlineStr">
        <is>
          <t>In behandeling</t>
        </is>
      </c>
      <c r="E25" s="12">
        <f>COUNTIF(Inkooporders!$P$4:$P$13,D25)</f>
        <v/>
      </c>
    </row>
    <row r="26">
      <c r="D26" s="28" t="inlineStr">
        <is>
          <t>Afgerond</t>
        </is>
      </c>
      <c r="E26" s="28">
        <f>COUNTIF(Inkooporders!$P$4:$P$13,D26)</f>
        <v/>
      </c>
    </row>
    <row r="27">
      <c r="D27" s="12" t="inlineStr">
        <is>
          <t>Geannuleerd</t>
        </is>
      </c>
      <c r="E27" s="12">
        <f>COUNTIF(Inkooporders!$P$4:$P$13,D27)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20" customWidth="1" min="1" max="1"/>
    <col width="100" customWidth="1" min="2" max="2"/>
  </cols>
  <sheetData>
    <row r="1" ht="24" customHeight="1">
      <c r="A1" s="17" t="inlineStr">
        <is>
          <t>Toelichting bij dit sjabloon</t>
        </is>
      </c>
    </row>
    <row r="2"/>
    <row r="3">
      <c r="A3" s="18" t="inlineStr">
        <is>
          <t>Sheet</t>
        </is>
      </c>
      <c r="B3" s="18" t="inlineStr">
        <is>
          <t>Uitleg</t>
        </is>
      </c>
    </row>
    <row r="4" ht="60" customHeight="1">
      <c r="A4" s="36" t="inlineStr">
        <is>
          <t>Inkooporders</t>
        </is>
      </c>
      <c r="B4" s="19" t="inlineStr">
        <is>
          <t>Hoofdsheet met alle orderregels. Voer aantal, eenheidsprijs, korting % en btw-tarief in (gele cellen). Bedrag excl. btw, korting bedrag, btw-bedrag en totaal incl. btw worden automatisch berekend. KVK-nummer en contactpersoon worden opgehaald uit de Leveranciers-sheet via VLOOKUP op basis van de leveranciersnaam. De kolom Betaald? toont automatisch Ja bij status Afgerond.</t>
        </is>
      </c>
    </row>
    <row r="5" ht="60" customHeight="1">
      <c r="A5" s="37" t="inlineStr">
        <is>
          <t>Leveranciers</t>
        </is>
      </c>
      <c r="B5" s="14" t="inlineStr">
        <is>
          <t>Stamgegevens van alle leveranciers, inclusief contactpersoon, KVK-nummer, btw-nummer, betalingstermijn en standaard btw-tarief. Deze gegevens worden gebruikt als opzoekbron voor de Inkooporders-sheet. Status (Actief/Inactief) is invoerbaar via een keuzelijst.</t>
        </is>
      </c>
    </row>
    <row r="6" ht="60" customHeight="1">
      <c r="A6" s="36" t="inlineStr">
        <is>
          <t>Dashboard</t>
        </is>
      </c>
      <c r="B6" s="19" t="inlineStr">
        <is>
          <t>Managementoverzicht met kerncijfers: totaal aantal orders, totaalbedragen, gemiddelde orderwaarde en percentage afgeronde orders. Bevat een kolomgrafiek per categorie, een lijndiagram per maand en een cirkeldiagram met de statusverdeling.</t>
        </is>
      </c>
    </row>
    <row r="7" ht="60" customHeight="1">
      <c r="A7" s="37" t="inlineStr">
        <is>
          <t>Algemeen</t>
        </is>
      </c>
      <c r="B7" s="14" t="inlineStr">
        <is>
          <t>Gele cellen zijn invoervelden. Groene bedragen zijn positieve/afgeronde totalen. Rode markeringen duiden op openstaande of geannuleerde orders. Alle bedragen zijn weergegeven in het formaat € 1.234,56.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2026-07-02T15:05:57Z</dcterms:created>
  <dcterms:modified xmlns:dcterms="http://purl.org/dc/terms/" xmlns:xsi="http://www.w3.org/2001/XMLSchema-instance" xsi:type="dcterms:W3CDTF">2026-07-02T15:05:57Z</dcterms:modified>
</cp:coreProperties>
</file>