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esteringsaftrek" sheetId="1" state="visible" r:id="rId1"/>
    <sheet xmlns:r="http://schemas.openxmlformats.org/officeDocument/2006/relationships" name="Samenvatting" sheetId="2" state="visible" r:id="rId2"/>
    <sheet xmlns:r="http://schemas.openxmlformats.org/officeDocument/2006/relationships" name="Toelichtin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-mm-jjjj"/>
    <numFmt numFmtId="165" formatCode="&quot;€&quot; #.##0,00"/>
    <numFmt numFmtId="166" formatCode="0,0%"/>
  </numFmts>
  <fonts count="5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b val="1"/>
    </font>
    <font>
      <b val="1"/>
      <color rgb="001E293B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164" fontId="0" fillId="4" borderId="1" pivotButton="0" quotePrefix="0" xfId="0"/>
    <xf numFmtId="0" fontId="0" fillId="4" borderId="1" applyAlignment="1" pivotButton="0" quotePrefix="0" xfId="0">
      <alignment horizontal="left" vertical="center" wrapText="1"/>
    </xf>
    <xf numFmtId="165" fontId="0" fillId="3" borderId="1" applyAlignment="1" pivotButton="0" quotePrefix="0" xfId="0">
      <alignment horizontal="center" vertical="center" wrapText="1"/>
    </xf>
    <xf numFmtId="166" fontId="0" fillId="3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6" fontId="0" fillId="4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horizontal="center" vertical="center" wrapText="1"/>
    </xf>
    <xf numFmtId="164" fontId="0" fillId="5" borderId="1" pivotButton="0" quotePrefix="0" xfId="0"/>
    <xf numFmtId="0" fontId="0" fillId="5" borderId="1" applyAlignment="1" pivotButton="0" quotePrefix="0" xfId="0">
      <alignment horizontal="left" vertical="center" wrapText="1"/>
    </xf>
    <xf numFmtId="165" fontId="0" fillId="5" borderId="1" applyAlignment="1" pivotButton="0" quotePrefix="0" xfId="0">
      <alignment horizontal="center" vertical="center" wrapText="1"/>
    </xf>
    <xf numFmtId="166" fontId="0" fillId="5" borderId="1" applyAlignment="1" pivotButton="0" quotePrefix="0" xfId="0">
      <alignment horizontal="center" vertical="center" wrapText="1"/>
    </xf>
    <xf numFmtId="0" fontId="2" fillId="6" borderId="0" applyAlignment="1" pivotButton="0" quotePrefix="0" xfId="0">
      <alignment horizontal="center" vertical="center" wrapText="1"/>
    </xf>
    <xf numFmtId="0" fontId="3" fillId="4" borderId="1" pivotButton="0" quotePrefix="0" xfId="0"/>
    <xf numFmtId="165" fontId="0" fillId="4" borderId="1" pivotButton="0" quotePrefix="0" xfId="0"/>
    <xf numFmtId="0" fontId="2" fillId="2" borderId="0" applyAlignment="1" pivotButton="0" quotePrefix="0" xfId="0">
      <alignment horizontal="center" vertical="center" wrapText="1"/>
    </xf>
    <xf numFmtId="0" fontId="3" fillId="5" borderId="1" pivotButton="0" quotePrefix="0" xfId="0"/>
    <xf numFmtId="1" fontId="0" fillId="5" borderId="1" pivotButton="0" quotePrefix="0" xfId="0"/>
    <xf numFmtId="166" fontId="0" fillId="4" borderId="1" pivotButton="0" quotePrefix="0" xfId="0"/>
    <xf numFmtId="0" fontId="0" fillId="5" borderId="1" pivotButton="0" quotePrefix="0" xfId="0"/>
    <xf numFmtId="1" fontId="0" fillId="4" borderId="1" pivotButton="0" quotePrefix="0" xfId="0"/>
    <xf numFmtId="165" fontId="0" fillId="5" borderId="1" pivotButton="0" quotePrefix="0" xfId="0"/>
    <xf numFmtId="166" fontId="0" fillId="5" borderId="1" pivotButton="0" quotePrefix="0" xfId="0"/>
    <xf numFmtId="0" fontId="0" fillId="4" borderId="1" pivotButton="0" quotePrefix="0" xfId="0"/>
    <xf numFmtId="0" fontId="4" fillId="5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 wrapText="1"/>
    </xf>
    <xf numFmtId="164" fontId="0" fillId="4" borderId="1" pivotButton="0" quotePrefix="0" xfId="0"/>
    <xf numFmtId="165" fontId="0" fillId="3" borderId="1" applyAlignment="1" pivotButton="0" quotePrefix="0" xfId="0">
      <alignment horizontal="center" vertical="center" wrapText="1"/>
    </xf>
    <xf numFmtId="166" fontId="0" fillId="3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6" fontId="0" fillId="4" borderId="1" applyAlignment="1" pivotButton="0" quotePrefix="0" xfId="0">
      <alignment horizontal="center" vertical="center" wrapText="1"/>
    </xf>
    <xf numFmtId="164" fontId="0" fillId="5" borderId="1" pivotButton="0" quotePrefix="0" xfId="0"/>
    <xf numFmtId="165" fontId="0" fillId="5" borderId="1" applyAlignment="1" pivotButton="0" quotePrefix="0" xfId="0">
      <alignment horizontal="center" vertical="center" wrapText="1"/>
    </xf>
    <xf numFmtId="166" fontId="0" fillId="5" borderId="1" applyAlignment="1" pivotButton="0" quotePrefix="0" xfId="0">
      <alignment horizontal="center" vertical="center" wrapText="1"/>
    </xf>
    <xf numFmtId="165" fontId="0" fillId="4" borderId="1" pivotButton="0" quotePrefix="0" xfId="0"/>
    <xf numFmtId="166" fontId="0" fillId="4" borderId="1" pivotButton="0" quotePrefix="0" xfId="0"/>
    <xf numFmtId="165" fontId="0" fillId="5" borderId="1" pivotButton="0" quotePrefix="0" xfId="0"/>
    <xf numFmtId="166" fontId="0" fillId="5" borderId="1" pivotButton="0" quotePrefix="0" xfId="0"/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Investering excl. btw per activum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'Investeringsaftrek'!I2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'Investeringsaftrek'!$E$3:$E$11</f>
            </numRef>
          </cat>
          <val>
            <numRef>
              <f>'Investeringsaftrek'!$I$3:$I$11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Activum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Bedrag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Verhouding KIA in aanmerking</a:t>
            </a:r>
          </a:p>
        </rich>
      </tx>
    </title>
    <plotArea>
      <pieChart>
        <varyColors val="1"/>
        <ser>
          <idx val="0"/>
          <order val="0"/>
          <tx>
            <strRef>
              <f>'Samenvatting'!I4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'Samenvatting'!$H$5:$H$6</f>
            </numRef>
          </cat>
          <val>
            <numRef>
              <f>'Samenvatting'!$I$5:$I$6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Cumulatieve investering per maand 2026</a:t>
            </a:r>
          </a:p>
        </rich>
      </tx>
    </title>
    <plotArea>
      <lineChart>
        <grouping val="standard"/>
        <ser>
          <idx val="0"/>
          <order val="0"/>
          <tx>
            <strRef>
              <f>'Samenvatting'!C17</f>
            </strRef>
          </tx>
          <spPr>
            <a:ln xmlns:a="http://schemas.openxmlformats.org/drawingml/2006/main" w="25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'Samenvatting'!$A$18:$A$29</f>
            </numRef>
          </cat>
          <val>
            <numRef>
              <f>'Samenvatting'!$C$18:$C$29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Maand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Cumulatief bedrag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30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30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47</row>
      <rowOff>0</rowOff>
    </from>
    <ext cx="648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26" customWidth="1" min="3" max="3"/>
    <col width="14" customWidth="1" min="4" max="4"/>
    <col width="24" customWidth="1" min="5" max="5"/>
    <col width="14" customWidth="1" min="6" max="6"/>
    <col width="20" customWidth="1" min="7" max="7"/>
    <col width="14" customWidth="1" min="8" max="8"/>
    <col width="22" customWidth="1" min="9" max="9"/>
    <col width="12" customWidth="1" min="10" max="10"/>
    <col width="14" customWidth="1" min="11" max="11"/>
    <col width="16" customWidth="1" min="12" max="12"/>
    <col width="10" customWidth="1" min="13" max="13"/>
    <col width="18" customWidth="1" min="14" max="14"/>
    <col width="15" customWidth="1" min="15" max="15"/>
    <col width="18" customWidth="1" min="16" max="16"/>
    <col width="18" customWidth="1" min="17" max="17"/>
    <col width="26" customWidth="1" min="18" max="18"/>
  </cols>
  <sheetData>
    <row r="1" ht="24" customHeight="1">
      <c r="A1" s="1" t="inlineStr">
        <is>
          <t>Investeringsaftrek Berekenen - KIA Sjabloon 2026</t>
        </is>
      </c>
    </row>
    <row r="2" ht="32" customHeight="1">
      <c r="A2" s="2" t="inlineStr">
        <is>
          <t>Investerings-ID</t>
        </is>
      </c>
      <c r="B2" s="2" t="inlineStr">
        <is>
          <t>Datum investering</t>
        </is>
      </c>
      <c r="C2" s="2" t="inlineStr">
        <is>
          <t>Bedrijf / project</t>
        </is>
      </c>
      <c r="D2" s="2" t="inlineStr">
        <is>
          <t>Plaats</t>
        </is>
      </c>
      <c r="E2" s="2" t="inlineStr">
        <is>
          <t>Activum</t>
        </is>
      </c>
      <c r="F2" s="2" t="inlineStr">
        <is>
          <t>Categorie</t>
        </is>
      </c>
      <c r="G2" s="2" t="inlineStr">
        <is>
          <t>Leverancier</t>
        </is>
      </c>
      <c r="H2" s="2" t="inlineStr">
        <is>
          <t>Factuurnummer</t>
        </is>
      </c>
      <c r="I2" s="2" t="inlineStr">
        <is>
          <t>Investeringsbedrag excl. btw</t>
        </is>
      </c>
      <c r="J2" s="2" t="inlineStr">
        <is>
          <t>Btw-tarief</t>
        </is>
      </c>
      <c r="K2" s="2" t="inlineStr">
        <is>
          <t>Btw-bedrag</t>
        </is>
      </c>
      <c r="L2" s="2" t="inlineStr">
        <is>
          <t>Totaal incl. btw</t>
        </is>
      </c>
      <c r="M2" s="2" t="inlineStr">
        <is>
          <t>Boekjaar</t>
        </is>
      </c>
      <c r="N2" s="2" t="inlineStr">
        <is>
          <t>In aanmerking voor KIA?</t>
        </is>
      </c>
      <c r="O2" s="2" t="inlineStr">
        <is>
          <t>Aftrekpercentage</t>
        </is>
      </c>
      <c r="P2" s="2" t="inlineStr">
        <is>
          <t>Verwachte KIA-aftrek</t>
        </is>
      </c>
      <c r="Q2" s="2" t="inlineStr">
        <is>
          <t>Netto investeringslast</t>
        </is>
      </c>
      <c r="R2" s="2" t="inlineStr">
        <is>
          <t>Opmerking</t>
        </is>
      </c>
    </row>
    <row r="3">
      <c r="A3" s="3" t="inlineStr">
        <is>
          <t>INV-001</t>
        </is>
      </c>
      <c r="B3" s="30" t="n">
        <v>46036</v>
      </c>
      <c r="C3" s="5" t="inlineStr">
        <is>
          <t>Sanne Bakker Consultancy</t>
        </is>
      </c>
      <c r="D3" s="5" t="inlineStr">
        <is>
          <t>Amsterdam</t>
        </is>
      </c>
      <c r="E3" s="5" t="inlineStr">
        <is>
          <t>Laptop + software</t>
        </is>
      </c>
      <c r="F3" s="5" t="inlineStr">
        <is>
          <t>ICT</t>
        </is>
      </c>
      <c r="G3" s="5" t="inlineStr">
        <is>
          <t>CompuTech BV</t>
        </is>
      </c>
      <c r="H3" s="3" t="inlineStr">
        <is>
          <t>F2026-101</t>
        </is>
      </c>
      <c r="I3" s="31" t="n">
        <v>1250</v>
      </c>
      <c r="J3" s="32" t="n">
        <v>0.21</v>
      </c>
      <c r="K3" s="33">
        <f>I3*J3</f>
        <v/>
      </c>
      <c r="L3" s="33">
        <f>I3+K3</f>
        <v/>
      </c>
      <c r="M3" s="3">
        <f>YEAR(B3)</f>
        <v/>
      </c>
      <c r="N3" s="3">
        <f>IF(AND(I3&gt;=450,I3&lt;=200000),"Ja","Nee")</f>
        <v/>
      </c>
      <c r="O3" s="34">
        <f>IFERROR(VLOOKUP(I3,Samenvatting!$D$5:$F$8,3,TRUE),0)</f>
        <v/>
      </c>
      <c r="P3" s="33">
        <f>IF(N3="Ja",I3*O3,0)</f>
        <v/>
      </c>
      <c r="Q3" s="33">
        <f>I3-P3</f>
        <v/>
      </c>
      <c r="R3" s="10" t="inlineStr">
        <is>
          <t>Zakelijk gebruik 100%</t>
        </is>
      </c>
    </row>
    <row r="4">
      <c r="A4" s="11" t="inlineStr">
        <is>
          <t>INV-002</t>
        </is>
      </c>
      <c r="B4" s="35" t="n">
        <v>46075</v>
      </c>
      <c r="C4" s="13" t="inlineStr">
        <is>
          <t>Daan Visser Metaalwerk</t>
        </is>
      </c>
      <c r="D4" s="13" t="inlineStr">
        <is>
          <t>Rotterdam</t>
        </is>
      </c>
      <c r="E4" s="13" t="inlineStr">
        <is>
          <t>CNC Machine</t>
        </is>
      </c>
      <c r="F4" s="13" t="inlineStr">
        <is>
          <t>Machines</t>
        </is>
      </c>
      <c r="G4" s="13" t="inlineStr">
        <is>
          <t>IndustrieParts NL</t>
        </is>
      </c>
      <c r="H4" s="11" t="inlineStr">
        <is>
          <t>F2026-102</t>
        </is>
      </c>
      <c r="I4" s="31" t="n">
        <v>24000</v>
      </c>
      <c r="J4" s="32" t="n">
        <v>0.21</v>
      </c>
      <c r="K4" s="36">
        <f>I4*J4</f>
        <v/>
      </c>
      <c r="L4" s="36">
        <f>I4+K4</f>
        <v/>
      </c>
      <c r="M4" s="11">
        <f>YEAR(B4)</f>
        <v/>
      </c>
      <c r="N4" s="11">
        <f>IF(AND(I4&gt;=450,I4&lt;=200000),"Ja","Nee")</f>
        <v/>
      </c>
      <c r="O4" s="37">
        <f>IFERROR(VLOOKUP(I4,Samenvatting!$D$5:$F$8,3,TRUE),0)</f>
        <v/>
      </c>
      <c r="P4" s="36">
        <f>IF(N4="Ja",I4*O4,0)</f>
        <v/>
      </c>
      <c r="Q4" s="36">
        <f>I4-P4</f>
        <v/>
      </c>
      <c r="R4" s="10" t="inlineStr">
        <is>
          <t>Vervanging oude machine</t>
        </is>
      </c>
    </row>
    <row r="5">
      <c r="A5" s="3" t="inlineStr">
        <is>
          <t>INV-003</t>
        </is>
      </c>
      <c r="B5" s="30" t="n">
        <v>46086</v>
      </c>
      <c r="C5" s="5" t="inlineStr">
        <is>
          <t>Emma de Groot Advies</t>
        </is>
      </c>
      <c r="D5" s="5" t="inlineStr">
        <is>
          <t>Utrecht</t>
        </is>
      </c>
      <c r="E5" s="5" t="inlineStr">
        <is>
          <t>Kantoorinrichting</t>
        </is>
      </c>
      <c r="F5" s="5" t="inlineStr">
        <is>
          <t>Inventaris</t>
        </is>
      </c>
      <c r="G5" s="5" t="inlineStr">
        <is>
          <t>OfficeStyle BV</t>
        </is>
      </c>
      <c r="H5" s="3" t="inlineStr">
        <is>
          <t>F2026-103</t>
        </is>
      </c>
      <c r="I5" s="31" t="n">
        <v>8500</v>
      </c>
      <c r="J5" s="32" t="n">
        <v>0.21</v>
      </c>
      <c r="K5" s="33">
        <f>I5*J5</f>
        <v/>
      </c>
      <c r="L5" s="33">
        <f>I5+K5</f>
        <v/>
      </c>
      <c r="M5" s="3">
        <f>YEAR(B5)</f>
        <v/>
      </c>
      <c r="N5" s="3">
        <f>IF(AND(I5&gt;=450,I5&lt;=200000),"Ja","Nee")</f>
        <v/>
      </c>
      <c r="O5" s="34">
        <f>IFERROR(VLOOKUP(I5,Samenvatting!$D$5:$F$8,3,TRUE),0)</f>
        <v/>
      </c>
      <c r="P5" s="33">
        <f>IF(N5="Ja",I5*O5,0)</f>
        <v/>
      </c>
      <c r="Q5" s="33">
        <f>I5-P5</f>
        <v/>
      </c>
      <c r="R5" s="10" t="inlineStr">
        <is>
          <t>Nieuw kantoorpand</t>
        </is>
      </c>
    </row>
    <row r="6">
      <c r="A6" s="11" t="inlineStr">
        <is>
          <t>INV-004</t>
        </is>
      </c>
      <c r="B6" s="35" t="n">
        <v>46130</v>
      </c>
      <c r="C6" s="13" t="inlineStr">
        <is>
          <t>Lars Jansen IT Solutions</t>
        </is>
      </c>
      <c r="D6" s="13" t="inlineStr">
        <is>
          <t>Eindhoven</t>
        </is>
      </c>
      <c r="E6" s="13" t="inlineStr">
        <is>
          <t>Server + printers</t>
        </is>
      </c>
      <c r="F6" s="13" t="inlineStr">
        <is>
          <t>ICT</t>
        </is>
      </c>
      <c r="G6" s="13" t="inlineStr">
        <is>
          <t>DataCore Systems</t>
        </is>
      </c>
      <c r="H6" s="11" t="inlineStr">
        <is>
          <t>F2026-104</t>
        </is>
      </c>
      <c r="I6" s="31" t="n">
        <v>15750</v>
      </c>
      <c r="J6" s="32" t="n">
        <v>0.21</v>
      </c>
      <c r="K6" s="36">
        <f>I6*J6</f>
        <v/>
      </c>
      <c r="L6" s="36">
        <f>I6+K6</f>
        <v/>
      </c>
      <c r="M6" s="11">
        <f>YEAR(B6)</f>
        <v/>
      </c>
      <c r="N6" s="11">
        <f>IF(AND(I6&gt;=450,I6&lt;=200000),"Ja","Nee")</f>
        <v/>
      </c>
      <c r="O6" s="37">
        <f>IFERROR(VLOOKUP(I6,Samenvatting!$D$5:$F$8,3,TRUE),0)</f>
        <v/>
      </c>
      <c r="P6" s="36">
        <f>IF(N6="Ja",I6*O6,0)</f>
        <v/>
      </c>
      <c r="Q6" s="36">
        <f>I6-P6</f>
        <v/>
      </c>
      <c r="R6" s="10" t="inlineStr">
        <is>
          <t>Uitbreiding datacenter</t>
        </is>
      </c>
    </row>
    <row r="7">
      <c r="A7" s="3" t="inlineStr">
        <is>
          <t>INV-005</t>
        </is>
      </c>
      <c r="B7" s="30" t="n">
        <v>46172</v>
      </c>
      <c r="C7" s="5" t="inlineStr">
        <is>
          <t>Sophie Mulder Laboratorium</t>
        </is>
      </c>
      <c r="D7" s="5" t="inlineStr">
        <is>
          <t>Groningen</t>
        </is>
      </c>
      <c r="E7" s="5" t="inlineStr">
        <is>
          <t>Meetapparatuur</t>
        </is>
      </c>
      <c r="F7" s="5" t="inlineStr">
        <is>
          <t>Machines</t>
        </is>
      </c>
      <c r="G7" s="5" t="inlineStr">
        <is>
          <t>LabTech Instruments</t>
        </is>
      </c>
      <c r="H7" s="3" t="inlineStr">
        <is>
          <t>F2026-105</t>
        </is>
      </c>
      <c r="I7" s="31" t="n">
        <v>6200</v>
      </c>
      <c r="J7" s="32" t="n">
        <v>0.21</v>
      </c>
      <c r="K7" s="33">
        <f>I7*J7</f>
        <v/>
      </c>
      <c r="L7" s="33">
        <f>I7+K7</f>
        <v/>
      </c>
      <c r="M7" s="3">
        <f>YEAR(B7)</f>
        <v/>
      </c>
      <c r="N7" s="3">
        <f>IF(AND(I7&gt;=450,I7&lt;=200000),"Ja","Nee")</f>
        <v/>
      </c>
      <c r="O7" s="34">
        <f>IFERROR(VLOOKUP(I7,Samenvatting!$D$5:$F$8,3,TRUE),0)</f>
        <v/>
      </c>
      <c r="P7" s="33">
        <f>IF(N7="Ja",I7*O7,0)</f>
        <v/>
      </c>
      <c r="Q7" s="33">
        <f>I7-P7</f>
        <v/>
      </c>
      <c r="R7" s="10" t="inlineStr">
        <is>
          <t>Kalibratie meegenomen</t>
        </is>
      </c>
    </row>
    <row r="8">
      <c r="A8" s="11" t="inlineStr">
        <is>
          <t>INV-006</t>
        </is>
      </c>
      <c r="B8" s="35" t="n">
        <v>46185</v>
      </c>
      <c r="C8" s="13" t="inlineStr">
        <is>
          <t>Bram Willems Bezorgdienst</t>
        </is>
      </c>
      <c r="D8" s="13" t="inlineStr">
        <is>
          <t>Den Haag</t>
        </is>
      </c>
      <c r="E8" s="13" t="inlineStr">
        <is>
          <t>Bedrijfsfiets + gereedschap</t>
        </is>
      </c>
      <c r="F8" s="13" t="inlineStr">
        <is>
          <t>Vervoer</t>
        </is>
      </c>
      <c r="G8" s="13" t="inlineStr">
        <is>
          <t>CycloPro BV</t>
        </is>
      </c>
      <c r="H8" s="11" t="inlineStr">
        <is>
          <t>F2026-106</t>
        </is>
      </c>
      <c r="I8" s="31" t="n">
        <v>950</v>
      </c>
      <c r="J8" s="32" t="n">
        <v>0.09</v>
      </c>
      <c r="K8" s="36">
        <f>I8*J8</f>
        <v/>
      </c>
      <c r="L8" s="36">
        <f>I8+K8</f>
        <v/>
      </c>
      <c r="M8" s="11">
        <f>YEAR(B8)</f>
        <v/>
      </c>
      <c r="N8" s="11">
        <f>IF(AND(I8&gt;=450,I8&lt;=200000),"Ja","Nee")</f>
        <v/>
      </c>
      <c r="O8" s="37">
        <f>IFERROR(VLOOKUP(I8,Samenvatting!$D$5:$F$8,3,TRUE),0)</f>
        <v/>
      </c>
      <c r="P8" s="36">
        <f>IF(N8="Ja",I8*O8,0)</f>
        <v/>
      </c>
      <c r="Q8" s="36">
        <f>I8-P8</f>
        <v/>
      </c>
      <c r="R8" s="10" t="inlineStr">
        <is>
          <t>Elektrische bakfiets</t>
        </is>
      </c>
    </row>
    <row r="9">
      <c r="A9" s="3" t="inlineStr">
        <is>
          <t>INV-007</t>
        </is>
      </c>
      <c r="B9" s="30" t="n">
        <v>46228</v>
      </c>
      <c r="C9" s="5" t="inlineStr">
        <is>
          <t>Julia Peters Retail</t>
        </is>
      </c>
      <c r="D9" s="5" t="inlineStr">
        <is>
          <t>Tilburg</t>
        </is>
      </c>
      <c r="E9" s="5" t="inlineStr">
        <is>
          <t>POS-systeem + scanner</t>
        </is>
      </c>
      <c r="F9" s="5" t="inlineStr">
        <is>
          <t>ICT</t>
        </is>
      </c>
      <c r="G9" s="5" t="inlineStr">
        <is>
          <t>RetailTech Solutions</t>
        </is>
      </c>
      <c r="H9" s="3" t="inlineStr">
        <is>
          <t>F2026-107</t>
        </is>
      </c>
      <c r="I9" s="31" t="n">
        <v>3100</v>
      </c>
      <c r="J9" s="32" t="n">
        <v>0.21</v>
      </c>
      <c r="K9" s="33">
        <f>I9*J9</f>
        <v/>
      </c>
      <c r="L9" s="33">
        <f>I9+K9</f>
        <v/>
      </c>
      <c r="M9" s="3">
        <f>YEAR(B9)</f>
        <v/>
      </c>
      <c r="N9" s="3">
        <f>IF(AND(I9&gt;=450,I9&lt;=200000),"Ja","Nee")</f>
        <v/>
      </c>
      <c r="O9" s="34">
        <f>IFERROR(VLOOKUP(I9,Samenvatting!$D$5:$F$8,3,TRUE),0)</f>
        <v/>
      </c>
      <c r="P9" s="33">
        <f>IF(N9="Ja",I9*O9,0)</f>
        <v/>
      </c>
      <c r="Q9" s="33">
        <f>I9-P9</f>
        <v/>
      </c>
      <c r="R9" s="10" t="inlineStr">
        <is>
          <t>Kassasysteem winkel</t>
        </is>
      </c>
    </row>
    <row r="10">
      <c r="A10" s="11" t="inlineStr">
        <is>
          <t>INV-008</t>
        </is>
      </c>
      <c r="B10" s="35" t="n">
        <v>46274</v>
      </c>
      <c r="C10" s="13" t="inlineStr">
        <is>
          <t>Thijs Smit Vastgoed</t>
        </is>
      </c>
      <c r="D10" s="13" t="inlineStr">
        <is>
          <t>Nijmegen</t>
        </is>
      </c>
      <c r="E10" s="13" t="inlineStr">
        <is>
          <t>Zonnepanelen + accu-opslag</t>
        </is>
      </c>
      <c r="F10" s="13" t="inlineStr">
        <is>
          <t>Duurzaamheid</t>
        </is>
      </c>
      <c r="G10" s="13" t="inlineStr">
        <is>
          <t>SolarNext BV</t>
        </is>
      </c>
      <c r="H10" s="11" t="inlineStr">
        <is>
          <t>F2026-108</t>
        </is>
      </c>
      <c r="I10" s="31" t="n">
        <v>42000</v>
      </c>
      <c r="J10" s="32" t="n">
        <v>0.21</v>
      </c>
      <c r="K10" s="36">
        <f>I10*J10</f>
        <v/>
      </c>
      <c r="L10" s="36">
        <f>I10+K10</f>
        <v/>
      </c>
      <c r="M10" s="11">
        <f>YEAR(B10)</f>
        <v/>
      </c>
      <c r="N10" s="11">
        <f>IF(AND(I10&gt;=450,I10&lt;=200000),"Ja","Nee")</f>
        <v/>
      </c>
      <c r="O10" s="37">
        <f>IFERROR(VLOOKUP(I10,Samenvatting!$D$5:$F$8,3,TRUE),0)</f>
        <v/>
      </c>
      <c r="P10" s="36">
        <f>IF(N10="Ja",I10*O10,0)</f>
        <v/>
      </c>
      <c r="Q10" s="36">
        <f>I10-P10</f>
        <v/>
      </c>
      <c r="R10" s="10" t="inlineStr">
        <is>
          <t>Subsidie apart aangevraagd</t>
        </is>
      </c>
    </row>
    <row r="11">
      <c r="A11" s="3" t="inlineStr">
        <is>
          <t>INV-009</t>
        </is>
      </c>
      <c r="B11" s="30" t="n">
        <v>46316</v>
      </c>
      <c r="C11" s="5" t="inlineStr">
        <is>
          <t>Lieke de Vries Freelance</t>
        </is>
      </c>
      <c r="D11" s="5" t="inlineStr">
        <is>
          <t>Breda</t>
        </is>
      </c>
      <c r="E11" s="5" t="inlineStr">
        <is>
          <t>Zakelijke telefoon</t>
        </is>
      </c>
      <c r="F11" s="5" t="inlineStr">
        <is>
          <t>ICT</t>
        </is>
      </c>
      <c r="G11" s="5" t="inlineStr">
        <is>
          <t>MobielDirect</t>
        </is>
      </c>
      <c r="H11" s="3" t="inlineStr">
        <is>
          <t>F2026-109</t>
        </is>
      </c>
      <c r="I11" s="31" t="n">
        <v>380</v>
      </c>
      <c r="J11" s="32" t="n">
        <v>0.21</v>
      </c>
      <c r="K11" s="33">
        <f>I11*J11</f>
        <v/>
      </c>
      <c r="L11" s="33">
        <f>I11+K11</f>
        <v/>
      </c>
      <c r="M11" s="3">
        <f>YEAR(B11)</f>
        <v/>
      </c>
      <c r="N11" s="3">
        <f>IF(AND(I11&gt;=450,I11&lt;=200000),"Ja","Nee")</f>
        <v/>
      </c>
      <c r="O11" s="34">
        <f>IFERROR(VLOOKUP(I11,Samenvatting!$D$5:$F$8,3,TRUE),0)</f>
        <v/>
      </c>
      <c r="P11" s="33">
        <f>IF(N11="Ja",I11*O11,0)</f>
        <v/>
      </c>
      <c r="Q11" s="33">
        <f>I11-P11</f>
        <v/>
      </c>
      <c r="R11" s="10" t="inlineStr">
        <is>
          <t>Onder KIA-drempel</t>
        </is>
      </c>
    </row>
  </sheetData>
  <mergeCells count="1">
    <mergeCell ref="A1:R1"/>
  </mergeCells>
  <conditionalFormatting sqref="N3:N11">
    <cfRule type="expression" priority="1" dxfId="0" stopIfTrue="1">
      <formula>N3="Nee"</formula>
    </cfRule>
    <cfRule type="expression" priority="2" dxfId="1" stopIfTrue="1">
      <formula>N3="Ja"</formula>
    </cfRule>
  </conditionalFormatting>
  <conditionalFormatting sqref="P3:P11">
    <cfRule type="expression" priority="3" dxfId="1" stopIfTrue="1">
      <formula>P3&gt;0</formula>
    </cfRule>
    <cfRule type="expression" priority="4" dxfId="0" stopIfTrue="1">
      <formula>P3=0</formula>
    </cfRule>
  </conditionalFormatting>
  <dataValidations count="1">
    <dataValidation sqref="J3:J11" showErrorMessage="1" showInputMessage="1" allowBlank="1" type="list">
      <formula1>"0,21,0,09,0"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cols>
    <col width="32" customWidth="1" min="1" max="1"/>
    <col width="18" customWidth="1" min="2" max="2"/>
    <col width="15" customWidth="1" min="4" max="4"/>
    <col width="15" customWidth="1" min="5" max="5"/>
    <col width="14" customWidth="1" min="6" max="6"/>
    <col width="24" customWidth="1" min="8" max="8"/>
    <col width="12" customWidth="1" min="9" max="9"/>
  </cols>
  <sheetData>
    <row r="1" ht="24" customHeight="1">
      <c r="A1" s="1" t="inlineStr">
        <is>
          <t>Samenvatting - Investeringsaftrek 2026</t>
        </is>
      </c>
    </row>
    <row r="2"/>
    <row r="3">
      <c r="A3" s="16" t="inlineStr">
        <is>
          <t>Kerncijfers</t>
        </is>
      </c>
      <c r="D3" s="16" t="inlineStr">
        <is>
          <t>KIA-staffel 2026</t>
        </is>
      </c>
      <c r="H3" s="16" t="inlineStr">
        <is>
          <t>KIA-verdeling</t>
        </is>
      </c>
    </row>
    <row r="4">
      <c r="A4" s="17" t="inlineStr">
        <is>
          <t>Totaal investeringsbedrag excl. btw</t>
        </is>
      </c>
      <c r="B4" s="38">
        <f>SUM(Investeringsaftrek!I:I)</f>
        <v/>
      </c>
      <c r="D4" s="2" t="inlineStr">
        <is>
          <t>Ondergrens</t>
        </is>
      </c>
      <c r="E4" s="2" t="inlineStr">
        <is>
          <t>Bovengrens</t>
        </is>
      </c>
      <c r="F4" s="2" t="inlineStr">
        <is>
          <t>Percentage</t>
        </is>
      </c>
      <c r="H4" s="19" t="inlineStr">
        <is>
          <t>Status</t>
        </is>
      </c>
      <c r="I4" s="19" t="inlineStr">
        <is>
          <t>Aantal</t>
        </is>
      </c>
    </row>
    <row r="5">
      <c r="A5" s="20" t="inlineStr">
        <is>
          <t>Aantal investeringen</t>
        </is>
      </c>
      <c r="B5" s="21">
        <f>COUNTA(Investeringsaftrek!A:A)-1</f>
        <v/>
      </c>
      <c r="D5" s="38" t="n">
        <v>0</v>
      </c>
      <c r="E5" s="38" t="n">
        <v>2900</v>
      </c>
      <c r="F5" s="39" t="n">
        <v>0</v>
      </c>
      <c r="H5" s="23" t="inlineStr">
        <is>
          <t>In aanmerking (Ja)</t>
        </is>
      </c>
      <c r="I5" s="23">
        <f>COUNTIF(Investeringsaftrek!N:N,"Ja")</f>
        <v/>
      </c>
    </row>
    <row r="6">
      <c r="A6" s="17" t="inlineStr">
        <is>
          <t>Aantal in aanmerking (Ja)</t>
        </is>
      </c>
      <c r="B6" s="24">
        <f>COUNTIF(Investeringsaftrek!N:N,"Ja")</f>
        <v/>
      </c>
      <c r="D6" s="40" t="n">
        <v>2901</v>
      </c>
      <c r="E6" s="40" t="n">
        <v>63716</v>
      </c>
      <c r="F6" s="41" t="n">
        <v>0.28</v>
      </c>
      <c r="H6" s="27" t="inlineStr">
        <is>
          <t>Niet in aanmerking (Nee)</t>
        </is>
      </c>
      <c r="I6" s="27">
        <f>COUNTIF(Investeringsaftrek!N:N,"Nee")</f>
        <v/>
      </c>
    </row>
    <row r="7">
      <c r="A7" s="20" t="inlineStr">
        <is>
          <t>Aantal niet in aanmerking (Nee)</t>
        </is>
      </c>
      <c r="B7" s="21">
        <f>COUNTIF(Investeringsaftrek!N:N,"Nee")</f>
        <v/>
      </c>
      <c r="D7" s="38" t="n">
        <v>63717</v>
      </c>
      <c r="E7" s="38" t="n">
        <v>117991</v>
      </c>
      <c r="F7" s="39" t="n">
        <v>0.0756</v>
      </c>
    </row>
    <row r="8">
      <c r="A8" s="17" t="inlineStr">
        <is>
          <t>Totale verwachte KIA-aftrek</t>
        </is>
      </c>
      <c r="B8" s="38">
        <f>SUM(Investeringsaftrek!P:P)</f>
        <v/>
      </c>
      <c r="D8" s="40" t="n">
        <v>117992</v>
      </c>
      <c r="E8" s="40" t="n">
        <v>200000</v>
      </c>
      <c r="F8" s="41" t="n">
        <v>0</v>
      </c>
    </row>
    <row r="9">
      <c r="A9" s="20" t="inlineStr">
        <is>
          <t>Totale netto investeringslast</t>
        </is>
      </c>
      <c r="B9" s="40">
        <f>SUM(Investeringsaftrek!Q:Q)</f>
        <v/>
      </c>
    </row>
    <row r="10">
      <c r="A10" s="17" t="inlineStr">
        <is>
          <t>Gemiddelde investering</t>
        </is>
      </c>
      <c r="B10" s="38">
        <f>IFERROR(AVERAGE(Investeringsaftrek!I:I),0)</f>
        <v/>
      </c>
    </row>
    <row r="11">
      <c r="A11" s="20" t="inlineStr">
        <is>
          <t>Hoogste investering</t>
        </is>
      </c>
      <c r="B11" s="40">
        <f>MAX(Investeringsaftrek!I:I)</f>
        <v/>
      </c>
    </row>
    <row r="12">
      <c r="A12" s="17" t="inlineStr">
        <is>
          <t>Laagste investering</t>
        </is>
      </c>
      <c r="B12" s="38">
        <f>MIN(Investeringsaftrek!I:I)</f>
        <v/>
      </c>
    </row>
    <row r="13"/>
    <row r="14"/>
    <row r="15"/>
    <row r="16">
      <c r="A16" s="16" t="inlineStr">
        <is>
          <t>Maandoverzicht 2026 (cumulatieve investering)</t>
        </is>
      </c>
    </row>
    <row r="17">
      <c r="A17" s="2" t="inlineStr">
        <is>
          <t>Maand</t>
        </is>
      </c>
      <c r="B17" s="2" t="inlineStr">
        <is>
          <t>Investering</t>
        </is>
      </c>
      <c r="C17" s="2" t="inlineStr">
        <is>
          <t>Cumulatief</t>
        </is>
      </c>
    </row>
    <row r="18">
      <c r="A18" s="5" t="inlineStr">
        <is>
          <t>januari</t>
        </is>
      </c>
      <c r="B18" s="38">
        <f>SUMPRODUCT((MONTH(Investeringsaftrek!$B$3:$B$11)=1)*Investeringsaftrek!$I$3:$I$11)</f>
        <v/>
      </c>
      <c r="C18" s="38">
        <f>B18</f>
        <v/>
      </c>
    </row>
    <row r="19">
      <c r="A19" s="13" t="inlineStr">
        <is>
          <t>februari</t>
        </is>
      </c>
      <c r="B19" s="40">
        <f>SUMPRODUCT((MONTH(Investeringsaftrek!$B$3:$B$11)=2)*Investeringsaftrek!$I$3:$I$11)</f>
        <v/>
      </c>
      <c r="C19" s="40">
        <f>C18+B19</f>
        <v/>
      </c>
    </row>
    <row r="20">
      <c r="A20" s="5" t="inlineStr">
        <is>
          <t>maart</t>
        </is>
      </c>
      <c r="B20" s="38">
        <f>SUMPRODUCT((MONTH(Investeringsaftrek!$B$3:$B$11)=3)*Investeringsaftrek!$I$3:$I$11)</f>
        <v/>
      </c>
      <c r="C20" s="38">
        <f>C19+B20</f>
        <v/>
      </c>
    </row>
    <row r="21">
      <c r="A21" s="13" t="inlineStr">
        <is>
          <t>april</t>
        </is>
      </c>
      <c r="B21" s="40">
        <f>SUMPRODUCT((MONTH(Investeringsaftrek!$B$3:$B$11)=4)*Investeringsaftrek!$I$3:$I$11)</f>
        <v/>
      </c>
      <c r="C21" s="40">
        <f>C20+B21</f>
        <v/>
      </c>
    </row>
    <row r="22">
      <c r="A22" s="5" t="inlineStr">
        <is>
          <t>mei</t>
        </is>
      </c>
      <c r="B22" s="38">
        <f>SUMPRODUCT((MONTH(Investeringsaftrek!$B$3:$B$11)=5)*Investeringsaftrek!$I$3:$I$11)</f>
        <v/>
      </c>
      <c r="C22" s="38">
        <f>C21+B22</f>
        <v/>
      </c>
    </row>
    <row r="23">
      <c r="A23" s="13" t="inlineStr">
        <is>
          <t>juni</t>
        </is>
      </c>
      <c r="B23" s="40">
        <f>SUMPRODUCT((MONTH(Investeringsaftrek!$B$3:$B$11)=6)*Investeringsaftrek!$I$3:$I$11)</f>
        <v/>
      </c>
      <c r="C23" s="40">
        <f>C22+B23</f>
        <v/>
      </c>
    </row>
    <row r="24">
      <c r="A24" s="5" t="inlineStr">
        <is>
          <t>juli</t>
        </is>
      </c>
      <c r="B24" s="38">
        <f>SUMPRODUCT((MONTH(Investeringsaftrek!$B$3:$B$11)=7)*Investeringsaftrek!$I$3:$I$11)</f>
        <v/>
      </c>
      <c r="C24" s="38">
        <f>C23+B24</f>
        <v/>
      </c>
    </row>
    <row r="25">
      <c r="A25" s="13" t="inlineStr">
        <is>
          <t>augustus</t>
        </is>
      </c>
      <c r="B25" s="40">
        <f>SUMPRODUCT((MONTH(Investeringsaftrek!$B$3:$B$11)=8)*Investeringsaftrek!$I$3:$I$11)</f>
        <v/>
      </c>
      <c r="C25" s="40">
        <f>C24+B25</f>
        <v/>
      </c>
    </row>
    <row r="26">
      <c r="A26" s="5" t="inlineStr">
        <is>
          <t>september</t>
        </is>
      </c>
      <c r="B26" s="38">
        <f>SUMPRODUCT((MONTH(Investeringsaftrek!$B$3:$B$11)=9)*Investeringsaftrek!$I$3:$I$11)</f>
        <v/>
      </c>
      <c r="C26" s="38">
        <f>C25+B26</f>
        <v/>
      </c>
    </row>
    <row r="27">
      <c r="A27" s="13" t="inlineStr">
        <is>
          <t>oktober</t>
        </is>
      </c>
      <c r="B27" s="40">
        <f>SUMPRODUCT((MONTH(Investeringsaftrek!$B$3:$B$11)=10)*Investeringsaftrek!$I$3:$I$11)</f>
        <v/>
      </c>
      <c r="C27" s="40">
        <f>C26+B27</f>
        <v/>
      </c>
    </row>
    <row r="28">
      <c r="A28" s="5" t="inlineStr">
        <is>
          <t>november</t>
        </is>
      </c>
      <c r="B28" s="38">
        <f>SUMPRODUCT((MONTH(Investeringsaftrek!$B$3:$B$11)=11)*Investeringsaftrek!$I$3:$I$11)</f>
        <v/>
      </c>
      <c r="C28" s="38">
        <f>C27+B28</f>
        <v/>
      </c>
    </row>
    <row r="29">
      <c r="A29" s="13" t="inlineStr">
        <is>
          <t>december</t>
        </is>
      </c>
      <c r="B29" s="40">
        <f>SUMPRODUCT((MONTH(Investeringsaftrek!$B$3:$B$11)=12)*Investeringsaftrek!$I$3:$I$11)</f>
        <v/>
      </c>
      <c r="C29" s="40">
        <f>C28+B29</f>
        <v/>
      </c>
    </row>
  </sheetData>
  <mergeCells count="5">
    <mergeCell ref="A1:H1"/>
    <mergeCell ref="A3:B3"/>
    <mergeCell ref="D3:F3"/>
    <mergeCell ref="H3:I3"/>
    <mergeCell ref="A16:C16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32" customWidth="1" min="1" max="1"/>
    <col width="90" customWidth="1" min="2" max="2"/>
  </cols>
  <sheetData>
    <row r="1" ht="24" customHeight="1">
      <c r="A1" s="1" t="inlineStr">
        <is>
          <t>Toelichting - Investeringsaftrek Sjabloon</t>
        </is>
      </c>
    </row>
    <row r="2"/>
    <row r="3" ht="45" customHeight="1">
      <c r="A3" s="28" t="inlineStr">
        <is>
          <t>Doel van dit sjabloon</t>
        </is>
      </c>
      <c r="B3" s="13" t="inlineStr">
        <is>
          <t>Dit sjabloon helpt bij het berekenen van de Kleinschaligheidsinvesteringsaftrek (KIA) per investering. Dit is een rekenhulpmiddel en GEEN fiscaal advies. Raadpleeg altijd een boekhouder of de Belastingdienst voor definitieve aangiftes.</t>
        </is>
      </c>
    </row>
    <row r="4" ht="45" customHeight="1">
      <c r="A4" s="29" t="inlineStr">
        <is>
          <t>Bedragen invullen</t>
        </is>
      </c>
      <c r="B4" s="5" t="inlineStr">
        <is>
          <t>Vul de investeringskolom (I) altijd in exclusief btw. Het btw-bedrag en het totaalbedrag incl. btw worden automatisch berekend op basis van het ingevulde btw-tarief in kolom J.</t>
        </is>
      </c>
    </row>
    <row r="5" ht="45" customHeight="1">
      <c r="A5" s="28" t="inlineStr">
        <is>
          <t>Excl. btw versus incl. btw</t>
        </is>
      </c>
      <c r="B5" s="13" t="inlineStr">
        <is>
          <t>Het bedrag excl. btw is de aankoopprijs zonder omzetbelasting; dit bedrag telt mee voor de KIA-berekening. Het bedrag incl. btw is wat u daadwerkelijk aan de leverancier betaalt (excl. btw + btw-bedrag).</t>
        </is>
      </c>
    </row>
    <row r="6" ht="45" customHeight="1">
      <c r="A6" s="29" t="inlineStr">
        <is>
          <t>Btw-tarieven</t>
        </is>
      </c>
      <c r="B6" s="5" t="inlineStr">
        <is>
          <t>21% is het algemene (hoge) btw-tarief in Nederland, van toepassing op de meeste zakelijke investeringen zoals apparatuur en machines. 9% is het verlaagde tarief, van toepassing op specifieke goederen/diensten. Kies het juiste tarief per investering in kolom J.</t>
        </is>
      </c>
    </row>
    <row r="7" ht="45" customHeight="1">
      <c r="A7" s="28" t="inlineStr">
        <is>
          <t>Wanneer komt een investering in aanmerking voor KIA?</t>
        </is>
      </c>
      <c r="B7" s="13" t="inlineStr">
        <is>
          <t>Een investering komt in aanmerking als het investeringsbedrag excl. btw minimaal € 450 en maximaal € 200.000 per bedrijfsjaar bedraagt (som van alle investeringen). Dit sjabloon toetst dit per regel; controleer ook het totaal per boekjaar.</t>
        </is>
      </c>
    </row>
    <row r="8" ht="45" customHeight="1">
      <c r="A8" s="29" t="inlineStr">
        <is>
          <t>KIA-staffel</t>
        </is>
      </c>
      <c r="B8" s="5" t="inlineStr">
        <is>
          <t>Het aftrekpercentage is afhankelijk van het totale investeringsbedrag per boekjaar. Kleine investeringen kennen geen aftrek, middengrote investeringen circa 28% aftrek, en bij hogere bedragen neemt het percentage geleidelijk af tot nul boven € 200.000. De staffel-tabel staat op het tabblad Samenvatting (kolommen D t/m F).</t>
        </is>
      </c>
    </row>
    <row r="9" ht="45" customHeight="1">
      <c r="A9" s="28" t="inlineStr">
        <is>
          <t>Kolom Opmerking</t>
        </is>
      </c>
      <c r="B9" s="13" t="inlineStr">
        <is>
          <t>Gebruik kolom R (Opmerking) om uitzonderingen te noteren, bijvoorbeeld gedeeltelijk zakelijk gebruik, gesplitste facturen of investeringen die zijn uitgesloten van de KIA-regeling (zoals bepaalde bedrijfsmiddelen, grond of woonhuizen).</t>
        </is>
      </c>
    </row>
    <row r="10" ht="45" customHeight="1">
      <c r="A10" s="29" t="inlineStr">
        <is>
          <t>Samenvatting-tabblad</t>
        </is>
      </c>
      <c r="B10" s="5" t="inlineStr">
        <is>
          <t>Op het tabblad Samenvatting vindt u de belangrijkste kerncijfers, de KIA-staffel, en grafieken met de verdeling van investeringen per activum, de verhouding Ja/Nee voor KIA, en de cumulatieve investering per maand.</t>
        </is>
      </c>
    </row>
    <row r="11" ht="45" customHeight="1">
      <c r="A11" s="28" t="inlineStr">
        <is>
          <t>Kleurcodes</t>
        </is>
      </c>
      <c r="B11" s="13" t="inlineStr">
        <is>
          <t>Lichtgele cellen zijn invoervelden. Groen geeft een positieve KIA-aftrek aan. Rood geeft aan dat een investering niet in aanmerking komt voor de KIA-regeling.</t>
        </is>
      </c>
    </row>
    <row r="12" ht="45" customHeight="1">
      <c r="A12" s="29" t="inlineStr">
        <is>
          <t>Disclaimer</t>
        </is>
      </c>
      <c r="B12" s="5" t="inlineStr">
        <is>
          <t>Dit bestand is bedoeld als hulpmiddel bij het maken van een inschatting. Fiscale regels en drempelbedragen kunnen jaarlijks wijzigen. Controleer altijd de actuele regelgeving via de Belastingdienst voordat u definitieve beslissingen neemt.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2026-07-02T20:06:53Z</dcterms:created>
  <dcterms:modified xmlns:dcterms="http://purl.org/dc/terms/" xmlns:xsi="http://www.w3.org/2001/XMLSchema-instance" xsi:type="dcterms:W3CDTF">2026-07-02T20:06:53Z</dcterms:modified>
</cp:coreProperties>
</file>