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taties" sheetId="1" state="visible" r:id="rId1"/>
    <sheet xmlns:r="http://schemas.openxmlformats.org/officeDocument/2006/relationships" name="Projecten" sheetId="2" state="visible" r:id="rId2"/>
    <sheet xmlns:r="http://schemas.openxmlformats.org/officeDocument/2006/relationships" name="Overzicht" sheetId="3" state="visible" r:id="rId3"/>
    <sheet xmlns:r="http://schemas.openxmlformats.org/officeDocument/2006/relationships" name="Instructies" sheetId="4" state="visible" r:id="rId4"/>
  </sheets>
  <definedNames>
    <definedName name="_xlnm._FilterDatabase" localSheetId="0" hidden="1">'Mutaties'!$A$3:$U$13</definedName>
    <definedName name="_xlnm._FilterDatabase" localSheetId="1" hidden="1">'Projecten'!$A$3:$N$11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-MM-JJJJ"/>
    <numFmt numFmtId="165" formatCode="&quot;€&quot; #.##0,00"/>
    <numFmt numFmtId="166" formatCode="0,0%"/>
  </numFmts>
  <fonts count="4">
    <font>
      <name val="Calibri"/>
      <family val="2"/>
      <color theme="1"/>
      <sz val="11"/>
      <scheme val="minor"/>
    </font>
    <font>
      <name val="Calibri"/>
      <b val="1"/>
      <color rgb="000F766E"/>
      <sz val="16"/>
    </font>
    <font>
      <name val="Calibri"/>
      <b val="1"/>
      <color rgb="00FFFFFF"/>
      <sz val="11"/>
    </font>
    <font>
      <b val="1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5" borderId="1" pivotButton="0" quotePrefix="0" xfId="0"/>
    <xf numFmtId="0" fontId="0" fillId="5" borderId="1" applyAlignment="1" pivotButton="0" quotePrefix="0" xfId="0">
      <alignment horizontal="right" vertical="center"/>
    </xf>
    <xf numFmtId="165" fontId="0" fillId="5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166" fontId="0" fillId="5" borderId="1" pivotButton="0" quotePrefix="0" xfId="0"/>
    <xf numFmtId="164" fontId="0" fillId="5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applyAlignment="1" pivotButton="0" quotePrefix="0" xfId="0">
      <alignment horizontal="right" vertical="center"/>
    </xf>
    <xf numFmtId="166" fontId="0" fillId="3" borderId="1" pivotButton="0" quotePrefix="0" xfId="0"/>
    <xf numFmtId="166" fontId="0" fillId="4" borderId="1" pivotButton="0" quotePrefix="0" xfId="0"/>
    <xf numFmtId="0" fontId="2" fillId="6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right" vertical="center"/>
    </xf>
    <xf numFmtId="165" fontId="0" fillId="4" borderId="1" pivotButton="0" quotePrefix="0" xfId="0"/>
    <xf numFmtId="165" fontId="0" fillId="3" borderId="1" pivotButton="0" quotePrefix="0" xfId="0"/>
    <xf numFmtId="166" fontId="0" fillId="3" borderId="1" applyAlignment="1" pivotButton="0" quotePrefix="0" xfId="0">
      <alignment horizontal="right" vertical="center"/>
    </xf>
    <xf numFmtId="166" fontId="0" fillId="4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3" borderId="1" pivotButton="0" quotePrefix="0" xfId="0"/>
    <xf numFmtId="165" fontId="0" fillId="5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166" fontId="0" fillId="5" borderId="1" pivotButton="0" quotePrefix="0" xfId="0"/>
    <xf numFmtId="164" fontId="0" fillId="5" borderId="1" pivotButton="0" quotePrefix="0" xfId="0"/>
    <xf numFmtId="164" fontId="0" fillId="4" borderId="1" pivotButton="0" quotePrefix="0" xfId="0"/>
    <xf numFmtId="165" fontId="0" fillId="4" borderId="1" applyAlignment="1" pivotButton="0" quotePrefix="0" xfId="0">
      <alignment horizontal="right" vertical="center"/>
    </xf>
    <xf numFmtId="166" fontId="0" fillId="3" borderId="1" pivotButton="0" quotePrefix="0" xfId="0"/>
    <xf numFmtId="166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0" fillId="4" borderId="1" pivotButton="0" quotePrefix="0" xfId="0"/>
    <xf numFmtId="165" fontId="0" fillId="3" borderId="1" pivotButton="0" quotePrefix="0" xfId="0"/>
    <xf numFmtId="166" fontId="0" fillId="3" borderId="1" applyAlignment="1" pivotButton="0" quotePrefix="0" xfId="0">
      <alignment horizontal="right" vertical="center"/>
    </xf>
    <xf numFmtId="166" fontId="0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22C55E"/>
      </font>
      <fill>
        <patternFill patternType="solid">
          <fgColor rgb="00DCFCE7"/>
        </patternFill>
      </fill>
    </dxf>
    <dxf>
      <font>
        <b val="1"/>
        <color rgb="00DC2626"/>
      </font>
    </dxf>
    <dxf>
      <font>
        <b val="1"/>
        <color rgb="0022C55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Netto mutatie per project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'Projecten'!J3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'Projecten'!$B$4:$B$11</f>
            </numRef>
          </cat>
          <val>
            <numRef>
              <f>'Projecten'!$J$4:$J$11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Project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Netto mutatie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Meerwerk vs Minderwerk per project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'Projecten'!H3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'Projecten'!$B$4:$B$11</f>
            </numRef>
          </cat>
          <val>
            <numRef>
              <f>'Projecten'!$H$4:$H$11</f>
            </numRef>
          </val>
        </ser>
        <ser>
          <idx val="1"/>
          <order val="1"/>
          <tx>
            <strRef>
              <f>'Projecten'!I3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'Projecten'!$B$4:$B$11</f>
            </numRef>
          </cat>
          <val>
            <numRef>
              <f>'Projecten'!$I$4:$I$11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Project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Bedrag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Cumulatieve mutatie per maand</a:t>
            </a:r>
          </a:p>
        </rich>
      </tx>
    </title>
    <plotArea>
      <lineChart>
        <grouping val="standard"/>
        <ser>
          <idx val="0"/>
          <order val="0"/>
          <tx>
            <strRef>
              <f>'Overzicht'!I4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'Overzicht'!$H$5:$H$16</f>
            </numRef>
          </cat>
          <val>
            <numRef>
              <f>'Overzicht'!$I$5:$I$16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Maand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Cumulatief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Verdeling status mutaties</a:t>
            </a:r>
          </a:p>
        </rich>
      </tx>
    </title>
    <plotArea>
      <pieChart>
        <varyColors val="1"/>
        <ser>
          <idx val="0"/>
          <order val="0"/>
          <tx>
            <strRef>
              <f>'Overzicht'!I19</f>
            </strRef>
          </tx>
          <spPr>
            <a:ln xmlns:a="http://schemas.openxmlformats.org/drawingml/2006/main">
              <a:prstDash val="solid"/>
            </a:ln>
          </spPr>
          <cat>
            <numRef>
              <f>'Overzicht'!$H$20:$H$22</f>
            </numRef>
          </cat>
          <val>
            <numRef>
              <f>'Overzicht'!$I$20:$I$22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chart" Target="/xl/charts/chart3.xml" Id="rId2"/><Relationship Type="http://schemas.openxmlformats.org/officeDocument/2006/relationships/chart" Target="/xl/charts/chart4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27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45</row>
      <rowOff>0</rowOff>
    </from>
    <ext cx="792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27</row>
      <rowOff>0</rowOff>
    </from>
    <ext cx="504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22" customWidth="1" min="4" max="4"/>
    <col width="16" customWidth="1" min="5" max="5"/>
    <col width="12" customWidth="1" min="6" max="6"/>
    <col width="12" customWidth="1" min="7" max="7"/>
    <col width="12" customWidth="1" min="8" max="8"/>
    <col width="28" customWidth="1" min="9" max="9"/>
    <col width="9" customWidth="1" min="10" max="10"/>
    <col width="12" customWidth="1" min="11" max="11"/>
    <col width="13" customWidth="1" min="12" max="12"/>
    <col width="14" customWidth="1" min="13" max="13"/>
    <col width="8" customWidth="1" min="14" max="14"/>
    <col width="12" customWidth="1" min="15" max="15"/>
    <col width="14" customWidth="1" min="16" max="16"/>
    <col width="13" customWidth="1" min="17" max="17"/>
    <col width="13" customWidth="1" min="18" max="18"/>
    <col width="13" customWidth="1" min="19" max="19"/>
    <col width="20" customWidth="1" min="20" max="20"/>
    <col width="12" customWidth="1" min="21" max="21"/>
  </cols>
  <sheetData>
    <row r="1">
      <c r="A1" s="1" t="inlineStr">
        <is>
          <t>Meerwerk / Minderwerk Registratie 2026</t>
        </is>
      </c>
    </row>
    <row r="2"/>
    <row r="3">
      <c r="A3" s="2" t="inlineStr">
        <is>
          <t>Reg. nummer</t>
        </is>
      </c>
      <c r="B3" s="2" t="inlineStr">
        <is>
          <t>Datum melding</t>
        </is>
      </c>
      <c r="C3" s="2" t="inlineStr">
        <is>
          <t>Projectnummer</t>
        </is>
      </c>
      <c r="D3" s="2" t="inlineStr">
        <is>
          <t>Projectnaam</t>
        </is>
      </c>
      <c r="E3" s="2" t="inlineStr">
        <is>
          <t>Opdrachtgever</t>
        </is>
      </c>
      <c r="F3" s="2" t="inlineStr">
        <is>
          <t>Plaats</t>
        </is>
      </c>
      <c r="G3" s="2" t="inlineStr">
        <is>
          <t>Werksoort</t>
        </is>
      </c>
      <c r="H3" s="2" t="inlineStr">
        <is>
          <t>Type mutatie</t>
        </is>
      </c>
      <c r="I3" s="2" t="inlineStr">
        <is>
          <t>Omschrijving</t>
        </is>
      </c>
      <c r="J3" s="2" t="inlineStr">
        <is>
          <t>Aantal uur</t>
        </is>
      </c>
      <c r="K3" s="2" t="inlineStr">
        <is>
          <t>Tarief per uur</t>
        </is>
      </c>
      <c r="L3" s="2" t="inlineStr">
        <is>
          <t>Materiaalkosten</t>
        </is>
      </c>
      <c r="M3" s="2" t="inlineStr">
        <is>
          <t>Totaal excl. btw</t>
        </is>
      </c>
      <c r="N3" s="2" t="inlineStr">
        <is>
          <t>Btw-%</t>
        </is>
      </c>
      <c r="O3" s="2" t="inlineStr">
        <is>
          <t>Btw-bedrag</t>
        </is>
      </c>
      <c r="P3" s="2" t="inlineStr">
        <is>
          <t>Totaal incl. btw</t>
        </is>
      </c>
      <c r="Q3" s="2" t="inlineStr">
        <is>
          <t>Status</t>
        </is>
      </c>
      <c r="R3" s="2" t="inlineStr">
        <is>
          <t>Factuurdatum</t>
        </is>
      </c>
      <c r="S3" s="2" t="inlineStr">
        <is>
          <t>Betalingsstatus</t>
        </is>
      </c>
      <c r="T3" s="2" t="inlineStr">
        <is>
          <t>Opmerking</t>
        </is>
      </c>
      <c r="U3" s="2" t="inlineStr">
        <is>
          <t>Actie</t>
        </is>
      </c>
    </row>
    <row r="4">
      <c r="A4" s="3" t="inlineStr">
        <is>
          <t>M-2026-001</t>
        </is>
      </c>
      <c r="B4" s="25" t="n">
        <v>46037</v>
      </c>
      <c r="C4" s="3" t="inlineStr">
        <is>
          <t>PRJ-001</t>
        </is>
      </c>
      <c r="D4" s="3" t="inlineStr">
        <is>
          <t>Renovatie Kantoorpand</t>
        </is>
      </c>
      <c r="E4" s="3" t="inlineStr">
        <is>
          <t>Sanne de Vries</t>
        </is>
      </c>
      <c r="F4" s="3" t="inlineStr">
        <is>
          <t>Amsterdam</t>
        </is>
      </c>
      <c r="G4" s="3" t="inlineStr">
        <is>
          <t>Elektra</t>
        </is>
      </c>
      <c r="H4" s="5" t="inlineStr">
        <is>
          <t>Meerwerk</t>
        </is>
      </c>
      <c r="I4" s="3" t="inlineStr">
        <is>
          <t>Extra stopcontacten plaatsen</t>
        </is>
      </c>
      <c r="J4" s="6" t="n">
        <v>8</v>
      </c>
      <c r="K4" s="26" t="n">
        <v>55</v>
      </c>
      <c r="L4" s="26" t="n">
        <v>250</v>
      </c>
      <c r="M4" s="27">
        <f>IF(H4="Meerwerk",J4*K4+L4,-(J4*K4+L4))</f>
        <v/>
      </c>
      <c r="N4" s="28" t="n">
        <v>0.21</v>
      </c>
      <c r="O4" s="27">
        <f>M4*N4</f>
        <v/>
      </c>
      <c r="P4" s="27">
        <f>M4+O4</f>
        <v/>
      </c>
      <c r="Q4" s="5" t="inlineStr">
        <is>
          <t>Goedgekeurd</t>
        </is>
      </c>
      <c r="R4" s="29" t="n">
        <v>46042</v>
      </c>
      <c r="S4" s="5" t="inlineStr">
        <is>
          <t>Betaald</t>
        </is>
      </c>
      <c r="T4" s="5" t="inlineStr">
        <is>
          <t>Akkoord van klant</t>
        </is>
      </c>
      <c r="U4" s="3">
        <f>IFERROR(IF(AND(Q4="Goedgekeurd",S4&lt;&gt;"Betaald"),"Actie nodig","OK"),"")</f>
        <v/>
      </c>
    </row>
    <row r="5">
      <c r="A5" s="11" t="inlineStr">
        <is>
          <t>M-2026-002</t>
        </is>
      </c>
      <c r="B5" s="30" t="n">
        <v>46044</v>
      </c>
      <c r="C5" s="11" t="inlineStr">
        <is>
          <t>PRJ-002</t>
        </is>
      </c>
      <c r="D5" s="11" t="inlineStr">
        <is>
          <t>Nieuwbouw Woning</t>
        </is>
      </c>
      <c r="E5" s="11" t="inlineStr">
        <is>
          <t>Daan Jansen</t>
        </is>
      </c>
      <c r="F5" s="11" t="inlineStr">
        <is>
          <t>Rotterdam</t>
        </is>
      </c>
      <c r="G5" s="11" t="inlineStr">
        <is>
          <t>Sanitair</t>
        </is>
      </c>
      <c r="H5" s="5" t="inlineStr">
        <is>
          <t>Meerwerk</t>
        </is>
      </c>
      <c r="I5" s="11" t="inlineStr">
        <is>
          <t>Extra badkamer aansluiting</t>
        </is>
      </c>
      <c r="J5" s="6" t="n">
        <v>12</v>
      </c>
      <c r="K5" s="26" t="n">
        <v>60</v>
      </c>
      <c r="L5" s="26" t="n">
        <v>400</v>
      </c>
      <c r="M5" s="31">
        <f>IF(H5="Meerwerk",J5*K5+L5,-(J5*K5+L5))</f>
        <v/>
      </c>
      <c r="N5" s="28" t="n">
        <v>0.21</v>
      </c>
      <c r="O5" s="31">
        <f>M5*N5</f>
        <v/>
      </c>
      <c r="P5" s="31">
        <f>M5+O5</f>
        <v/>
      </c>
      <c r="Q5" s="5" t="inlineStr">
        <is>
          <t>Gefactureerd</t>
        </is>
      </c>
      <c r="R5" s="29" t="n">
        <v>46058</v>
      </c>
      <c r="S5" s="5" t="inlineStr">
        <is>
          <t>Open</t>
        </is>
      </c>
      <c r="T5" s="5" t="inlineStr"/>
      <c r="U5" s="11">
        <f>IFERROR(IF(AND(Q5="Goedgekeurd",S5&lt;&gt;"Betaald"),"Actie nodig","OK"),"")</f>
        <v/>
      </c>
    </row>
    <row r="6">
      <c r="A6" s="3" t="inlineStr">
        <is>
          <t>M-2026-003</t>
        </is>
      </c>
      <c r="B6" s="25" t="n">
        <v>46056</v>
      </c>
      <c r="C6" s="3" t="inlineStr">
        <is>
          <t>PRJ-003</t>
        </is>
      </c>
      <c r="D6" s="3" t="inlineStr">
        <is>
          <t>Verbouwing Winkelpand</t>
        </is>
      </c>
      <c r="E6" s="3" t="inlineStr">
        <is>
          <t>Emma Bakker</t>
        </is>
      </c>
      <c r="F6" s="3" t="inlineStr">
        <is>
          <t>Utrecht</t>
        </is>
      </c>
      <c r="G6" s="3" t="inlineStr">
        <is>
          <t>Interieur</t>
        </is>
      </c>
      <c r="H6" s="5" t="inlineStr">
        <is>
          <t>Minderwerk</t>
        </is>
      </c>
      <c r="I6" s="3" t="inlineStr">
        <is>
          <t>Vervallen wandbekleding</t>
        </is>
      </c>
      <c r="J6" s="6" t="n">
        <v>6</v>
      </c>
      <c r="K6" s="26" t="n">
        <v>50</v>
      </c>
      <c r="L6" s="26" t="n">
        <v>150</v>
      </c>
      <c r="M6" s="27">
        <f>IF(H6="Meerwerk",J6*K6+L6,-(J6*K6+L6))</f>
        <v/>
      </c>
      <c r="N6" s="28" t="n">
        <v>0.21</v>
      </c>
      <c r="O6" s="27">
        <f>M6*N6</f>
        <v/>
      </c>
      <c r="P6" s="27">
        <f>M6+O6</f>
        <v/>
      </c>
      <c r="Q6" s="5" t="inlineStr">
        <is>
          <t>Gemeld</t>
        </is>
      </c>
      <c r="R6" s="5" t="n"/>
      <c r="S6" s="5" t="inlineStr">
        <is>
          <t>Open</t>
        </is>
      </c>
      <c r="T6" s="5" t="inlineStr">
        <is>
          <t>Wacht op akkoord</t>
        </is>
      </c>
      <c r="U6" s="3">
        <f>IFERROR(IF(AND(Q6="Goedgekeurd",S6&lt;&gt;"Betaald"),"Actie nodig","OK"),"")</f>
        <v/>
      </c>
    </row>
    <row r="7">
      <c r="A7" s="11" t="inlineStr">
        <is>
          <t>M-2026-004</t>
        </is>
      </c>
      <c r="B7" s="30" t="n">
        <v>46071</v>
      </c>
      <c r="C7" s="11" t="inlineStr">
        <is>
          <t>PRJ-004</t>
        </is>
      </c>
      <c r="D7" s="11" t="inlineStr">
        <is>
          <t>Uitbreiding Bedrijfshal</t>
        </is>
      </c>
      <c r="E7" s="11" t="inlineStr">
        <is>
          <t>Lars van Dijk</t>
        </is>
      </c>
      <c r="F7" s="11" t="inlineStr">
        <is>
          <t>Eindhoven</t>
        </is>
      </c>
      <c r="G7" s="11" t="inlineStr">
        <is>
          <t>Constructie</t>
        </is>
      </c>
      <c r="H7" s="5" t="inlineStr">
        <is>
          <t>Meerwerk</t>
        </is>
      </c>
      <c r="I7" s="11" t="inlineStr">
        <is>
          <t>Extra staalconstructie</t>
        </is>
      </c>
      <c r="J7" s="6" t="n">
        <v>20</v>
      </c>
      <c r="K7" s="26" t="n">
        <v>65</v>
      </c>
      <c r="L7" s="26" t="n">
        <v>1200</v>
      </c>
      <c r="M7" s="31">
        <f>IF(H7="Meerwerk",J7*K7+L7,-(J7*K7+L7))</f>
        <v/>
      </c>
      <c r="N7" s="28" t="n">
        <v>0.21</v>
      </c>
      <c r="O7" s="31">
        <f>M7*N7</f>
        <v/>
      </c>
      <c r="P7" s="31">
        <f>M7+O7</f>
        <v/>
      </c>
      <c r="Q7" s="5" t="inlineStr">
        <is>
          <t>Goedgekeurd</t>
        </is>
      </c>
      <c r="R7" s="5" t="n"/>
      <c r="S7" s="5" t="inlineStr">
        <is>
          <t>Open</t>
        </is>
      </c>
      <c r="T7" s="5" t="inlineStr"/>
      <c r="U7" s="11">
        <f>IFERROR(IF(AND(Q7="Goedgekeurd",S7&lt;&gt;"Betaald"),"Actie nodig","OK"),"")</f>
        <v/>
      </c>
    </row>
    <row r="8">
      <c r="A8" s="3" t="inlineStr">
        <is>
          <t>M-2026-005</t>
        </is>
      </c>
      <c r="B8" s="25" t="n">
        <v>46080</v>
      </c>
      <c r="C8" s="3" t="inlineStr">
        <is>
          <t>PRJ-005</t>
        </is>
      </c>
      <c r="D8" s="3" t="inlineStr">
        <is>
          <t>Renovatie Schoolgebouw</t>
        </is>
      </c>
      <c r="E8" s="3" t="inlineStr">
        <is>
          <t>Sophie Meijer</t>
        </is>
      </c>
      <c r="F8" s="3" t="inlineStr">
        <is>
          <t>Groningen</t>
        </is>
      </c>
      <c r="G8" s="3" t="inlineStr">
        <is>
          <t>Dak</t>
        </is>
      </c>
      <c r="H8" s="5" t="inlineStr">
        <is>
          <t>Minderwerk</t>
        </is>
      </c>
      <c r="I8" s="3" t="inlineStr">
        <is>
          <t>Minder dakisolatie toegepast</t>
        </is>
      </c>
      <c r="J8" s="6" t="n">
        <v>10</v>
      </c>
      <c r="K8" s="26" t="n">
        <v>45</v>
      </c>
      <c r="L8" s="26" t="n">
        <v>300</v>
      </c>
      <c r="M8" s="27">
        <f>IF(H8="Meerwerk",J8*K8+L8,-(J8*K8+L8))</f>
        <v/>
      </c>
      <c r="N8" s="28" t="n">
        <v>0.09</v>
      </c>
      <c r="O8" s="27">
        <f>M8*N8</f>
        <v/>
      </c>
      <c r="P8" s="27">
        <f>M8+O8</f>
        <v/>
      </c>
      <c r="Q8" s="5" t="inlineStr">
        <is>
          <t>Afgewezen</t>
        </is>
      </c>
      <c r="R8" s="5" t="n"/>
      <c r="S8" s="5" t="inlineStr">
        <is>
          <t>Open</t>
        </is>
      </c>
      <c r="T8" s="5" t="inlineStr">
        <is>
          <t>Niet akkoord</t>
        </is>
      </c>
      <c r="U8" s="3">
        <f>IFERROR(IF(AND(Q8="Goedgekeurd",S8&lt;&gt;"Betaald"),"Actie nodig","OK"),"")</f>
        <v/>
      </c>
    </row>
    <row r="9">
      <c r="A9" s="11" t="inlineStr">
        <is>
          <t>M-2026-006</t>
        </is>
      </c>
      <c r="B9" s="30" t="n">
        <v>46091</v>
      </c>
      <c r="C9" s="11" t="inlineStr">
        <is>
          <t>PRJ-006</t>
        </is>
      </c>
      <c r="D9" s="11" t="inlineStr">
        <is>
          <t>Nieuwbouw Appartementen</t>
        </is>
      </c>
      <c r="E9" s="11" t="inlineStr">
        <is>
          <t>Bram Visser</t>
        </is>
      </c>
      <c r="F9" s="11" t="inlineStr">
        <is>
          <t>Den Haag</t>
        </is>
      </c>
      <c r="G9" s="11" t="inlineStr">
        <is>
          <t>Elektra</t>
        </is>
      </c>
      <c r="H9" s="5" t="inlineStr">
        <is>
          <t>Meerwerk</t>
        </is>
      </c>
      <c r="I9" s="11" t="inlineStr">
        <is>
          <t>Domotica systeem toevoegen</t>
        </is>
      </c>
      <c r="J9" s="6" t="n">
        <v>25</v>
      </c>
      <c r="K9" s="26" t="n">
        <v>60</v>
      </c>
      <c r="L9" s="26" t="n">
        <v>2000</v>
      </c>
      <c r="M9" s="31">
        <f>IF(H9="Meerwerk",J9*K9+L9,-(J9*K9+L9))</f>
        <v/>
      </c>
      <c r="N9" s="28" t="n">
        <v>0.21</v>
      </c>
      <c r="O9" s="31">
        <f>M9*N9</f>
        <v/>
      </c>
      <c r="P9" s="31">
        <f>M9+O9</f>
        <v/>
      </c>
      <c r="Q9" s="5" t="inlineStr">
        <is>
          <t>Gefactureerd</t>
        </is>
      </c>
      <c r="R9" s="29" t="n">
        <v>46096</v>
      </c>
      <c r="S9" s="5" t="inlineStr">
        <is>
          <t>Deels betaald</t>
        </is>
      </c>
      <c r="T9" s="5" t="inlineStr"/>
      <c r="U9" s="11">
        <f>IFERROR(IF(AND(Q9="Goedgekeurd",S9&lt;&gt;"Betaald"),"Actie nodig","OK"),"")</f>
        <v/>
      </c>
    </row>
    <row r="10">
      <c r="A10" s="3" t="inlineStr">
        <is>
          <t>M-2026-007</t>
        </is>
      </c>
      <c r="B10" s="25" t="n">
        <v>46103</v>
      </c>
      <c r="C10" s="3" t="inlineStr">
        <is>
          <t>PRJ-007</t>
        </is>
      </c>
      <c r="D10" s="3" t="inlineStr">
        <is>
          <t>Verbouwing Restaurant</t>
        </is>
      </c>
      <c r="E10" s="3" t="inlineStr">
        <is>
          <t>Julia Peters</t>
        </is>
      </c>
      <c r="F10" s="3" t="inlineStr">
        <is>
          <t>Tilburg</t>
        </is>
      </c>
      <c r="G10" s="3" t="inlineStr">
        <is>
          <t>Keuken</t>
        </is>
      </c>
      <c r="H10" s="5" t="inlineStr">
        <is>
          <t>Meerwerk</t>
        </is>
      </c>
      <c r="I10" s="3" t="inlineStr">
        <is>
          <t>Extra keukenapparatuur aansluiten</t>
        </is>
      </c>
      <c r="J10" s="6" t="n">
        <v>15</v>
      </c>
      <c r="K10" s="26" t="n">
        <v>55</v>
      </c>
      <c r="L10" s="26" t="n">
        <v>800</v>
      </c>
      <c r="M10" s="27">
        <f>IF(H10="Meerwerk",J10*K10+L10,-(J10*K10+L10))</f>
        <v/>
      </c>
      <c r="N10" s="28" t="n">
        <v>0.21</v>
      </c>
      <c r="O10" s="27">
        <f>M10*N10</f>
        <v/>
      </c>
      <c r="P10" s="27">
        <f>M10+O10</f>
        <v/>
      </c>
      <c r="Q10" s="5" t="inlineStr">
        <is>
          <t>Goedgekeurd</t>
        </is>
      </c>
      <c r="R10" s="5" t="n"/>
      <c r="S10" s="5" t="inlineStr">
        <is>
          <t>Open</t>
        </is>
      </c>
      <c r="T10" s="5" t="inlineStr"/>
      <c r="U10" s="3">
        <f>IFERROR(IF(AND(Q10="Goedgekeurd",S10&lt;&gt;"Betaald"),"Actie nodig","OK"),"")</f>
        <v/>
      </c>
    </row>
    <row r="11">
      <c r="A11" s="11" t="inlineStr">
        <is>
          <t>M-2026-008</t>
        </is>
      </c>
      <c r="B11" s="30" t="n">
        <v>46117</v>
      </c>
      <c r="C11" s="11" t="inlineStr">
        <is>
          <t>PRJ-008</t>
        </is>
      </c>
      <c r="D11" s="11" t="inlineStr">
        <is>
          <t>Renovatie Zorginstelling</t>
        </is>
      </c>
      <c r="E11" s="11" t="inlineStr">
        <is>
          <t>Thijs de Boer</t>
        </is>
      </c>
      <c r="F11" s="11" t="inlineStr">
        <is>
          <t>Nijmegen</t>
        </is>
      </c>
      <c r="G11" s="11" t="inlineStr">
        <is>
          <t>Sanitair</t>
        </is>
      </c>
      <c r="H11" s="5" t="inlineStr">
        <is>
          <t>Minderwerk</t>
        </is>
      </c>
      <c r="I11" s="11" t="inlineStr">
        <is>
          <t>Vervallen extra toilet</t>
        </is>
      </c>
      <c r="J11" s="6" t="n">
        <v>8</v>
      </c>
      <c r="K11" s="26" t="n">
        <v>50</v>
      </c>
      <c r="L11" s="26" t="n">
        <v>200</v>
      </c>
      <c r="M11" s="31">
        <f>IF(H11="Meerwerk",J11*K11+L11,-(J11*K11+L11))</f>
        <v/>
      </c>
      <c r="N11" s="28" t="n">
        <v>0.21</v>
      </c>
      <c r="O11" s="31">
        <f>M11*N11</f>
        <v/>
      </c>
      <c r="P11" s="31">
        <f>M11+O11</f>
        <v/>
      </c>
      <c r="Q11" s="5" t="inlineStr">
        <is>
          <t>Gemeld</t>
        </is>
      </c>
      <c r="R11" s="5" t="n"/>
      <c r="S11" s="5" t="inlineStr">
        <is>
          <t>Open</t>
        </is>
      </c>
      <c r="T11" s="5" t="inlineStr">
        <is>
          <t>In afwachting</t>
        </is>
      </c>
      <c r="U11" s="11">
        <f>IFERROR(IF(AND(Q11="Goedgekeurd",S11&lt;&gt;"Betaald"),"Actie nodig","OK"),"")</f>
        <v/>
      </c>
    </row>
    <row r="12">
      <c r="A12" s="3" t="inlineStr">
        <is>
          <t>M-2026-009</t>
        </is>
      </c>
      <c r="B12" s="25" t="n">
        <v>46131</v>
      </c>
      <c r="C12" s="3" t="inlineStr">
        <is>
          <t>PRJ-001</t>
        </is>
      </c>
      <c r="D12" s="3" t="inlineStr">
        <is>
          <t>Renovatie Kantoorpand</t>
        </is>
      </c>
      <c r="E12" s="3" t="inlineStr">
        <is>
          <t>Sanne de Vries</t>
        </is>
      </c>
      <c r="F12" s="3" t="inlineStr">
        <is>
          <t>Amsterdam</t>
        </is>
      </c>
      <c r="G12" s="3" t="inlineStr">
        <is>
          <t>Vloeren</t>
        </is>
      </c>
      <c r="H12" s="5" t="inlineStr">
        <is>
          <t>Meerwerk</t>
        </is>
      </c>
      <c r="I12" s="3" t="inlineStr">
        <is>
          <t>Extra vloerafwerking</t>
        </is>
      </c>
      <c r="J12" s="6" t="n">
        <v>18</v>
      </c>
      <c r="K12" s="26" t="n">
        <v>48</v>
      </c>
      <c r="L12" s="26" t="n">
        <v>600</v>
      </c>
      <c r="M12" s="27">
        <f>IF(H12="Meerwerk",J12*K12+L12,-(J12*K12+L12))</f>
        <v/>
      </c>
      <c r="N12" s="28" t="n">
        <v>0</v>
      </c>
      <c r="O12" s="27">
        <f>M12*N12</f>
        <v/>
      </c>
      <c r="P12" s="27">
        <f>M12+O12</f>
        <v/>
      </c>
      <c r="Q12" s="5" t="inlineStr">
        <is>
          <t>Gefactureerd</t>
        </is>
      </c>
      <c r="R12" s="29" t="n">
        <v>46137</v>
      </c>
      <c r="S12" s="5" t="inlineStr">
        <is>
          <t>Betaald</t>
        </is>
      </c>
      <c r="T12" s="5" t="inlineStr"/>
      <c r="U12" s="3">
        <f>IFERROR(IF(AND(Q12="Goedgekeurd",S12&lt;&gt;"Betaald"),"Actie nodig","OK"),"")</f>
        <v/>
      </c>
    </row>
    <row r="13">
      <c r="A13" s="11" t="inlineStr">
        <is>
          <t>M-2026-010</t>
        </is>
      </c>
      <c r="B13" s="30" t="n">
        <v>46142</v>
      </c>
      <c r="C13" s="11" t="inlineStr">
        <is>
          <t>PRJ-002</t>
        </is>
      </c>
      <c r="D13" s="11" t="inlineStr">
        <is>
          <t>Nieuwbouw Woning</t>
        </is>
      </c>
      <c r="E13" s="11" t="inlineStr">
        <is>
          <t>Daan Jansen</t>
        </is>
      </c>
      <c r="F13" s="11" t="inlineStr">
        <is>
          <t>Rotterdam</t>
        </is>
      </c>
      <c r="G13" s="11" t="inlineStr">
        <is>
          <t>Tuin</t>
        </is>
      </c>
      <c r="H13" s="5" t="inlineStr">
        <is>
          <t>Minderwerk</t>
        </is>
      </c>
      <c r="I13" s="11" t="inlineStr">
        <is>
          <t>Kleiner terras dan gepland</t>
        </is>
      </c>
      <c r="J13" s="6" t="n">
        <v>5</v>
      </c>
      <c r="K13" s="26" t="n">
        <v>45</v>
      </c>
      <c r="L13" s="26" t="n">
        <v>100</v>
      </c>
      <c r="M13" s="31">
        <f>IF(H13="Meerwerk",J13*K13+L13,-(J13*K13+L13))</f>
        <v/>
      </c>
      <c r="N13" s="28" t="n">
        <v>0.21</v>
      </c>
      <c r="O13" s="31">
        <f>M13*N13</f>
        <v/>
      </c>
      <c r="P13" s="31">
        <f>M13+O13</f>
        <v/>
      </c>
      <c r="Q13" s="5" t="inlineStr">
        <is>
          <t>Goedgekeurd</t>
        </is>
      </c>
      <c r="R13" s="5" t="n"/>
      <c r="S13" s="5" t="inlineStr">
        <is>
          <t>Open</t>
        </is>
      </c>
      <c r="T13" s="5" t="inlineStr"/>
      <c r="U13" s="11">
        <f>IFERROR(IF(AND(Q13="Goedgekeurd",S13&lt;&gt;"Betaald"),"Actie nodig","OK"),"")</f>
        <v/>
      </c>
    </row>
  </sheetData>
  <autoFilter ref="A3:U13"/>
  <mergeCells count="1">
    <mergeCell ref="A1:U1"/>
  </mergeCells>
  <conditionalFormatting sqref="U4:U13">
    <cfRule type="expression" priority="1" dxfId="0" stopIfTrue="1">
      <formula>U4="Actie nodig"</formula>
    </cfRule>
    <cfRule type="expression" priority="2" dxfId="1" stopIfTrue="1">
      <formula>U4="OK"</formula>
    </cfRule>
  </conditionalFormatting>
  <conditionalFormatting sqref="M4:M13">
    <cfRule type="expression" priority="3" dxfId="2">
      <formula>M4&lt;0</formula>
    </cfRule>
    <cfRule type="expression" priority="4" dxfId="3">
      <formula>M4&gt;0</formula>
    </cfRule>
  </conditionalFormatting>
  <dataValidations count="4">
    <dataValidation sqref="H4:H13" showErrorMessage="1" showInputMessage="1" allowBlank="1" type="list">
      <formula1>"Meerwerk,Minderwerk"</formula1>
    </dataValidation>
    <dataValidation sqref="N4:N13" showErrorMessage="1" showInputMessage="1" allowBlank="1" type="list">
      <formula1>"0.21,0.09,0"</formula1>
    </dataValidation>
    <dataValidation sqref="Q4:Q13" showErrorMessage="1" showInputMessage="1" allowBlank="1" type="list">
      <formula1>"Gemeld,Goedgekeurd,Gefactureerd,Afgewezen"</formula1>
    </dataValidation>
    <dataValidation sqref="S4:S13" showErrorMessage="1" showInputMessage="1" allowBlank="1" type="list">
      <formula1>"Open,Deels betaald,Betaald"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2" customWidth="1" min="4" max="4"/>
    <col width="12" customWidth="1" min="5" max="5"/>
    <col width="12" customWidth="1" min="6" max="6"/>
    <col width="16" customWidth="1" min="7" max="7"/>
    <col width="16" customWidth="1" min="8" max="8"/>
    <col width="16" customWidth="1" min="9" max="9"/>
    <col width="16" customWidth="1" min="10" max="10"/>
    <col width="18" customWidth="1" min="11" max="11"/>
    <col width="16" customWidth="1" min="12" max="12"/>
    <col width="12" customWidth="1" min="13" max="13"/>
    <col width="12" customWidth="1" min="14" max="14"/>
  </cols>
  <sheetData>
    <row r="1">
      <c r="A1" s="1" t="inlineStr">
        <is>
          <t>Projectoverzicht - Budget &amp; Mutaties</t>
        </is>
      </c>
    </row>
    <row r="2"/>
    <row r="3">
      <c r="A3" s="2" t="inlineStr">
        <is>
          <t>Projectnummer</t>
        </is>
      </c>
      <c r="B3" s="2" t="inlineStr">
        <is>
          <t>Projectnaam</t>
        </is>
      </c>
      <c r="C3" s="2" t="inlineStr">
        <is>
          <t>Opdrachtgever</t>
        </is>
      </c>
      <c r="D3" s="2" t="inlineStr">
        <is>
          <t>Plaats</t>
        </is>
      </c>
      <c r="E3" s="2" t="inlineStr">
        <is>
          <t>Startdatum</t>
        </is>
      </c>
      <c r="F3" s="2" t="inlineStr">
        <is>
          <t>Einddatum</t>
        </is>
      </c>
      <c r="G3" s="2" t="inlineStr">
        <is>
          <t>Contractwaarde excl. btw</t>
        </is>
      </c>
      <c r="H3" s="2" t="inlineStr">
        <is>
          <t>Totaal meerwerk excl. btw</t>
        </is>
      </c>
      <c r="I3" s="2" t="inlineStr">
        <is>
          <t>Totaal minderwerk excl. btw</t>
        </is>
      </c>
      <c r="J3" s="2" t="inlineStr">
        <is>
          <t>Netto mutatie excl. btw</t>
        </is>
      </c>
      <c r="K3" s="2" t="inlineStr">
        <is>
          <t>Nieuwe projectwaarde excl. btw</t>
        </is>
      </c>
      <c r="L3" s="2" t="inlineStr">
        <is>
          <t>Factureerbaar saldo</t>
        </is>
      </c>
      <c r="M3" s="2" t="inlineStr">
        <is>
          <t>Marge-impact %</t>
        </is>
      </c>
      <c r="N3" s="2" t="inlineStr">
        <is>
          <t>Projectstatus</t>
        </is>
      </c>
    </row>
    <row r="4">
      <c r="A4" s="3" t="inlineStr">
        <is>
          <t>PRJ-001</t>
        </is>
      </c>
      <c r="B4" s="3" t="inlineStr">
        <is>
          <t>Renovatie Kantoorpand</t>
        </is>
      </c>
      <c r="C4" s="3" t="inlineStr">
        <is>
          <t>Sanne de Vries</t>
        </is>
      </c>
      <c r="D4" s="3" t="inlineStr">
        <is>
          <t>Amsterdam</t>
        </is>
      </c>
      <c r="E4" s="25" t="n">
        <v>46032</v>
      </c>
      <c r="F4" s="25" t="n">
        <v>46203</v>
      </c>
      <c r="G4" s="27" t="n">
        <v>150000</v>
      </c>
      <c r="H4" s="27">
        <f>SUMIFS(Mutaties!$M$4:$M$13,Mutaties!$H$4:$H$13,"Meerwerk",Mutaties!$C$4:$C$13,A4)</f>
        <v/>
      </c>
      <c r="I4" s="27">
        <f>-SUMIFS(Mutaties!$M$4:$M$13,Mutaties!$H$4:$H$13,"Minderwerk",Mutaties!$C$4:$C$13,A4)</f>
        <v/>
      </c>
      <c r="J4" s="27">
        <f>H4-I4</f>
        <v/>
      </c>
      <c r="K4" s="27">
        <f>G4+J4</f>
        <v/>
      </c>
      <c r="L4" s="27">
        <f>SUMIFS(Mutaties!$M$4:$M$13,Mutaties!$Q$4:$Q$13,"Gefactureerd",Mutaties!$C$4:$C$13,A4)-(SUMIFS(Mutaties!$M$4:$M$13,Mutaties!$Q$4:$Q$13,"Gemeld",Mutaties!$C$4:$C$13,A4)+SUMIFS(Mutaties!$M$4:$M$13,Mutaties!$Q$4:$Q$13,"Goedgekeurd",Mutaties!$C$4:$C$13,A4))</f>
        <v/>
      </c>
      <c r="M4" s="32">
        <f>IFERROR(J4/G4,0)</f>
        <v/>
      </c>
      <c r="N4" s="3" t="inlineStr">
        <is>
          <t>Loopt</t>
        </is>
      </c>
    </row>
    <row r="5">
      <c r="A5" s="11" t="inlineStr">
        <is>
          <t>PRJ-002</t>
        </is>
      </c>
      <c r="B5" s="11" t="inlineStr">
        <is>
          <t>Nieuwbouw Woning</t>
        </is>
      </c>
      <c r="C5" s="11" t="inlineStr">
        <is>
          <t>Daan Jansen</t>
        </is>
      </c>
      <c r="D5" s="11" t="inlineStr">
        <is>
          <t>Rotterdam</t>
        </is>
      </c>
      <c r="E5" s="30" t="n">
        <v>46058</v>
      </c>
      <c r="F5" s="30" t="n">
        <v>46249</v>
      </c>
      <c r="G5" s="31" t="n">
        <v>220000</v>
      </c>
      <c r="H5" s="31">
        <f>SUMIFS(Mutaties!$M$4:$M$13,Mutaties!$H$4:$H$13,"Meerwerk",Mutaties!$C$4:$C$13,A5)</f>
        <v/>
      </c>
      <c r="I5" s="31">
        <f>-SUMIFS(Mutaties!$M$4:$M$13,Mutaties!$H$4:$H$13,"Minderwerk",Mutaties!$C$4:$C$13,A5)</f>
        <v/>
      </c>
      <c r="J5" s="31">
        <f>H5-I5</f>
        <v/>
      </c>
      <c r="K5" s="31">
        <f>G5+J5</f>
        <v/>
      </c>
      <c r="L5" s="31">
        <f>SUMIFS(Mutaties!$M$4:$M$13,Mutaties!$Q$4:$Q$13,"Gefactureerd",Mutaties!$C$4:$C$13,A5)-(SUMIFS(Mutaties!$M$4:$M$13,Mutaties!$Q$4:$Q$13,"Gemeld",Mutaties!$C$4:$C$13,A5)+SUMIFS(Mutaties!$M$4:$M$13,Mutaties!$Q$4:$Q$13,"Goedgekeurd",Mutaties!$C$4:$C$13,A5))</f>
        <v/>
      </c>
      <c r="M5" s="33">
        <f>IFERROR(J5/G5,0)</f>
        <v/>
      </c>
      <c r="N5" s="11" t="inlineStr">
        <is>
          <t>Loopt</t>
        </is>
      </c>
    </row>
    <row r="6">
      <c r="A6" s="3" t="inlineStr">
        <is>
          <t>PRJ-003</t>
        </is>
      </c>
      <c r="B6" s="3" t="inlineStr">
        <is>
          <t>Verbouwing Winkelpand</t>
        </is>
      </c>
      <c r="C6" s="3" t="inlineStr">
        <is>
          <t>Emma Bakker</t>
        </is>
      </c>
      <c r="D6" s="3" t="inlineStr">
        <is>
          <t>Utrecht</t>
        </is>
      </c>
      <c r="E6" s="25" t="n">
        <v>46054</v>
      </c>
      <c r="F6" s="25" t="n">
        <v>46142</v>
      </c>
      <c r="G6" s="27" t="n">
        <v>85000</v>
      </c>
      <c r="H6" s="27">
        <f>SUMIFS(Mutaties!$M$4:$M$13,Mutaties!$H$4:$H$13,"Meerwerk",Mutaties!$C$4:$C$13,A6)</f>
        <v/>
      </c>
      <c r="I6" s="27">
        <f>-SUMIFS(Mutaties!$M$4:$M$13,Mutaties!$H$4:$H$13,"Minderwerk",Mutaties!$C$4:$C$13,A6)</f>
        <v/>
      </c>
      <c r="J6" s="27">
        <f>H6-I6</f>
        <v/>
      </c>
      <c r="K6" s="27">
        <f>G6+J6</f>
        <v/>
      </c>
      <c r="L6" s="27">
        <f>SUMIFS(Mutaties!$M$4:$M$13,Mutaties!$Q$4:$Q$13,"Gefactureerd",Mutaties!$C$4:$C$13,A6)-(SUMIFS(Mutaties!$M$4:$M$13,Mutaties!$Q$4:$Q$13,"Gemeld",Mutaties!$C$4:$C$13,A6)+SUMIFS(Mutaties!$M$4:$M$13,Mutaties!$Q$4:$Q$13,"Goedgekeurd",Mutaties!$C$4:$C$13,A6))</f>
        <v/>
      </c>
      <c r="M6" s="32">
        <f>IFERROR(J6/G6,0)</f>
        <v/>
      </c>
      <c r="N6" s="3" t="inlineStr">
        <is>
          <t>Afgerond</t>
        </is>
      </c>
    </row>
    <row r="7">
      <c r="A7" s="11" t="inlineStr">
        <is>
          <t>PRJ-004</t>
        </is>
      </c>
      <c r="B7" s="11" t="inlineStr">
        <is>
          <t>Uitbreiding Bedrijfshal</t>
        </is>
      </c>
      <c r="C7" s="11" t="inlineStr">
        <is>
          <t>Lars van Dijk</t>
        </is>
      </c>
      <c r="D7" s="11" t="inlineStr">
        <is>
          <t>Eindhoven</t>
        </is>
      </c>
      <c r="E7" s="30" t="n">
        <v>46037</v>
      </c>
      <c r="F7" s="30" t="n">
        <v>46295</v>
      </c>
      <c r="G7" s="31" t="n">
        <v>340000</v>
      </c>
      <c r="H7" s="31">
        <f>SUMIFS(Mutaties!$M$4:$M$13,Mutaties!$H$4:$H$13,"Meerwerk",Mutaties!$C$4:$C$13,A7)</f>
        <v/>
      </c>
      <c r="I7" s="31">
        <f>-SUMIFS(Mutaties!$M$4:$M$13,Mutaties!$H$4:$H$13,"Minderwerk",Mutaties!$C$4:$C$13,A7)</f>
        <v/>
      </c>
      <c r="J7" s="31">
        <f>H7-I7</f>
        <v/>
      </c>
      <c r="K7" s="31">
        <f>G7+J7</f>
        <v/>
      </c>
      <c r="L7" s="31">
        <f>SUMIFS(Mutaties!$M$4:$M$13,Mutaties!$Q$4:$Q$13,"Gefactureerd",Mutaties!$C$4:$C$13,A7)-(SUMIFS(Mutaties!$M$4:$M$13,Mutaties!$Q$4:$Q$13,"Gemeld",Mutaties!$C$4:$C$13,A7)+SUMIFS(Mutaties!$M$4:$M$13,Mutaties!$Q$4:$Q$13,"Goedgekeurd",Mutaties!$C$4:$C$13,A7))</f>
        <v/>
      </c>
      <c r="M7" s="33">
        <f>IFERROR(J7/G7,0)</f>
        <v/>
      </c>
      <c r="N7" s="11" t="inlineStr">
        <is>
          <t>Loopt</t>
        </is>
      </c>
    </row>
    <row r="8">
      <c r="A8" s="3" t="inlineStr">
        <is>
          <t>PRJ-005</t>
        </is>
      </c>
      <c r="B8" s="3" t="inlineStr">
        <is>
          <t>Renovatie Schoolgebouw</t>
        </is>
      </c>
      <c r="C8" s="3" t="inlineStr">
        <is>
          <t>Sophie Meijer</t>
        </is>
      </c>
      <c r="D8" s="3" t="inlineStr">
        <is>
          <t>Groningen</t>
        </is>
      </c>
      <c r="E8" s="25" t="n">
        <v>46073</v>
      </c>
      <c r="F8" s="25" t="n">
        <v>46234</v>
      </c>
      <c r="G8" s="27" t="n">
        <v>175000</v>
      </c>
      <c r="H8" s="27">
        <f>SUMIFS(Mutaties!$M$4:$M$13,Mutaties!$H$4:$H$13,"Meerwerk",Mutaties!$C$4:$C$13,A8)</f>
        <v/>
      </c>
      <c r="I8" s="27">
        <f>-SUMIFS(Mutaties!$M$4:$M$13,Mutaties!$H$4:$H$13,"Minderwerk",Mutaties!$C$4:$C$13,A8)</f>
        <v/>
      </c>
      <c r="J8" s="27">
        <f>H8-I8</f>
        <v/>
      </c>
      <c r="K8" s="27">
        <f>G8+J8</f>
        <v/>
      </c>
      <c r="L8" s="27">
        <f>SUMIFS(Mutaties!$M$4:$M$13,Mutaties!$Q$4:$Q$13,"Gefactureerd",Mutaties!$C$4:$C$13,A8)-(SUMIFS(Mutaties!$M$4:$M$13,Mutaties!$Q$4:$Q$13,"Gemeld",Mutaties!$C$4:$C$13,A8)+SUMIFS(Mutaties!$M$4:$M$13,Mutaties!$Q$4:$Q$13,"Goedgekeurd",Mutaties!$C$4:$C$13,A8))</f>
        <v/>
      </c>
      <c r="M8" s="32">
        <f>IFERROR(J8/G8,0)</f>
        <v/>
      </c>
      <c r="N8" s="3" t="inlineStr">
        <is>
          <t>On hold</t>
        </is>
      </c>
    </row>
    <row r="9">
      <c r="A9" s="11" t="inlineStr">
        <is>
          <t>PRJ-006</t>
        </is>
      </c>
      <c r="B9" s="11" t="inlineStr">
        <is>
          <t>Nieuwbouw Appartementen</t>
        </is>
      </c>
      <c r="C9" s="11" t="inlineStr">
        <is>
          <t>Bram Visser</t>
        </is>
      </c>
      <c r="D9" s="11" t="inlineStr">
        <is>
          <t>Den Haag</t>
        </is>
      </c>
      <c r="E9" s="30" t="n">
        <v>46082</v>
      </c>
      <c r="F9" s="30" t="n">
        <v>46387</v>
      </c>
      <c r="G9" s="31" t="n">
        <v>410000</v>
      </c>
      <c r="H9" s="31">
        <f>SUMIFS(Mutaties!$M$4:$M$13,Mutaties!$H$4:$H$13,"Meerwerk",Mutaties!$C$4:$C$13,A9)</f>
        <v/>
      </c>
      <c r="I9" s="31">
        <f>-SUMIFS(Mutaties!$M$4:$M$13,Mutaties!$H$4:$H$13,"Minderwerk",Mutaties!$C$4:$C$13,A9)</f>
        <v/>
      </c>
      <c r="J9" s="31">
        <f>H9-I9</f>
        <v/>
      </c>
      <c r="K9" s="31">
        <f>G9+J9</f>
        <v/>
      </c>
      <c r="L9" s="31">
        <f>SUMIFS(Mutaties!$M$4:$M$13,Mutaties!$Q$4:$Q$13,"Gefactureerd",Mutaties!$C$4:$C$13,A9)-(SUMIFS(Mutaties!$M$4:$M$13,Mutaties!$Q$4:$Q$13,"Gemeld",Mutaties!$C$4:$C$13,A9)+SUMIFS(Mutaties!$M$4:$M$13,Mutaties!$Q$4:$Q$13,"Goedgekeurd",Mutaties!$C$4:$C$13,A9))</f>
        <v/>
      </c>
      <c r="M9" s="33">
        <f>IFERROR(J9/G9,0)</f>
        <v/>
      </c>
      <c r="N9" s="11" t="inlineStr">
        <is>
          <t>Loopt</t>
        </is>
      </c>
    </row>
    <row r="10">
      <c r="A10" s="3" t="inlineStr">
        <is>
          <t>PRJ-007</t>
        </is>
      </c>
      <c r="B10" s="3" t="inlineStr">
        <is>
          <t>Verbouwing Restaurant</t>
        </is>
      </c>
      <c r="C10" s="3" t="inlineStr">
        <is>
          <t>Julia Peters</t>
        </is>
      </c>
      <c r="D10" s="3" t="inlineStr">
        <is>
          <t>Tilburg</t>
        </is>
      </c>
      <c r="E10" s="25" t="n">
        <v>46091</v>
      </c>
      <c r="F10" s="25" t="n">
        <v>46203</v>
      </c>
      <c r="G10" s="27" t="n">
        <v>95000</v>
      </c>
      <c r="H10" s="27">
        <f>SUMIFS(Mutaties!$M$4:$M$13,Mutaties!$H$4:$H$13,"Meerwerk",Mutaties!$C$4:$C$13,A10)</f>
        <v/>
      </c>
      <c r="I10" s="27">
        <f>-SUMIFS(Mutaties!$M$4:$M$13,Mutaties!$H$4:$H$13,"Minderwerk",Mutaties!$C$4:$C$13,A10)</f>
        <v/>
      </c>
      <c r="J10" s="27">
        <f>H10-I10</f>
        <v/>
      </c>
      <c r="K10" s="27">
        <f>G10+J10</f>
        <v/>
      </c>
      <c r="L10" s="27">
        <f>SUMIFS(Mutaties!$M$4:$M$13,Mutaties!$Q$4:$Q$13,"Gefactureerd",Mutaties!$C$4:$C$13,A10)-(SUMIFS(Mutaties!$M$4:$M$13,Mutaties!$Q$4:$Q$13,"Gemeld",Mutaties!$C$4:$C$13,A10)+SUMIFS(Mutaties!$M$4:$M$13,Mutaties!$Q$4:$Q$13,"Goedgekeurd",Mutaties!$C$4:$C$13,A10))</f>
        <v/>
      </c>
      <c r="M10" s="32">
        <f>IFERROR(J10/G10,0)</f>
        <v/>
      </c>
      <c r="N10" s="3" t="inlineStr">
        <is>
          <t>Loopt</t>
        </is>
      </c>
    </row>
    <row r="11">
      <c r="A11" s="11" t="inlineStr">
        <is>
          <t>PRJ-008</t>
        </is>
      </c>
      <c r="B11" s="11" t="inlineStr">
        <is>
          <t>Renovatie Zorginstelling</t>
        </is>
      </c>
      <c r="C11" s="11" t="inlineStr">
        <is>
          <t>Thijs de Boer</t>
        </is>
      </c>
      <c r="D11" s="11" t="inlineStr">
        <is>
          <t>Nijmegen</t>
        </is>
      </c>
      <c r="E11" s="30" t="n">
        <v>46117</v>
      </c>
      <c r="F11" s="30" t="n">
        <v>46356</v>
      </c>
      <c r="G11" s="31" t="n">
        <v>260000</v>
      </c>
      <c r="H11" s="31">
        <f>SUMIFS(Mutaties!$M$4:$M$13,Mutaties!$H$4:$H$13,"Meerwerk",Mutaties!$C$4:$C$13,A11)</f>
        <v/>
      </c>
      <c r="I11" s="31">
        <f>-SUMIFS(Mutaties!$M$4:$M$13,Mutaties!$H$4:$H$13,"Minderwerk",Mutaties!$C$4:$C$13,A11)</f>
        <v/>
      </c>
      <c r="J11" s="31">
        <f>H11-I11</f>
        <v/>
      </c>
      <c r="K11" s="31">
        <f>G11+J11</f>
        <v/>
      </c>
      <c r="L11" s="31">
        <f>SUMIFS(Mutaties!$M$4:$M$13,Mutaties!$Q$4:$Q$13,"Gefactureerd",Mutaties!$C$4:$C$13,A11)-(SUMIFS(Mutaties!$M$4:$M$13,Mutaties!$Q$4:$Q$13,"Gemeld",Mutaties!$C$4:$C$13,A11)+SUMIFS(Mutaties!$M$4:$M$13,Mutaties!$Q$4:$Q$13,"Goedgekeurd",Mutaties!$C$4:$C$13,A11))</f>
        <v/>
      </c>
      <c r="M11" s="33">
        <f>IFERROR(J11/G11,0)</f>
        <v/>
      </c>
      <c r="N11" s="11" t="inlineStr">
        <is>
          <t>Loopt</t>
        </is>
      </c>
    </row>
  </sheetData>
  <autoFilter ref="A3:N11"/>
  <mergeCells count="1">
    <mergeCell ref="A1:N1"/>
  </mergeCells>
  <conditionalFormatting sqref="J4:J11">
    <cfRule type="expression" priority="1" dxfId="2">
      <formula>J4&lt;0</formula>
    </cfRule>
    <cfRule type="expression" priority="2" dxfId="3">
      <formula>J4&gt;0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4" customWidth="1" min="3" max="3"/>
    <col width="8" customWidth="1" min="4" max="4"/>
    <col width="22" customWidth="1" min="5" max="5"/>
    <col width="16" customWidth="1" min="6" max="6"/>
    <col width="4" customWidth="1" min="7" max="7"/>
    <col width="12" customWidth="1" min="8" max="8"/>
    <col width="18" customWidth="1" min="9" max="9"/>
  </cols>
  <sheetData>
    <row r="1">
      <c r="A1" s="1" t="inlineStr">
        <is>
          <t>Meerwerk / Minderwerk - Dashboard 2026</t>
        </is>
      </c>
    </row>
    <row r="2"/>
    <row r="3">
      <c r="A3" s="16" t="inlineStr">
        <is>
          <t>Kerncijfers</t>
        </is>
      </c>
      <c r="B3" s="34" t="n"/>
      <c r="D3" s="16" t="inlineStr">
        <is>
          <t>Top 5 projecten op mutatie</t>
        </is>
      </c>
      <c r="E3" s="35" t="n"/>
      <c r="F3" s="34" t="n"/>
      <c r="H3" s="16" t="inlineStr">
        <is>
          <t>Cumulatieve mutatie per maand</t>
        </is>
      </c>
      <c r="I3" s="34" t="n"/>
    </row>
    <row r="4">
      <c r="A4" s="3" t="inlineStr">
        <is>
          <t>Aantal projecten</t>
        </is>
      </c>
      <c r="B4" s="17">
        <f>COUNTA(Projecten!A4:A11)</f>
        <v/>
      </c>
      <c r="D4" s="2" t="inlineStr">
        <is>
          <t>Rang</t>
        </is>
      </c>
      <c r="E4" s="2" t="inlineStr">
        <is>
          <t>Project</t>
        </is>
      </c>
      <c r="F4" s="2" t="inlineStr">
        <is>
          <t>Netto mutatie</t>
        </is>
      </c>
      <c r="H4" s="2" t="inlineStr">
        <is>
          <t>Maand</t>
        </is>
      </c>
      <c r="I4" s="2" t="inlineStr">
        <is>
          <t>Cumulatieve mutatie</t>
        </is>
      </c>
    </row>
    <row r="5">
      <c r="A5" s="11" t="inlineStr">
        <is>
          <t>Totaal contractwaarde</t>
        </is>
      </c>
      <c r="B5" s="31">
        <f>SUM(Projecten!G4:G11)</f>
        <v/>
      </c>
      <c r="D5" s="11" t="n">
        <v>1</v>
      </c>
      <c r="E5" s="11">
        <f>IFERROR(INDEX(Projecten!$B$4:$B$11,MATCH(LARGE(Projecten!$J$4:$J$11,D5),Projecten!$J$4:$J$11,0)),"")</f>
        <v/>
      </c>
      <c r="F5" s="36">
        <f>IFERROR(LARGE(Projecten!$J$4:$J$11,D5),0)</f>
        <v/>
      </c>
      <c r="H5" s="11" t="inlineStr">
        <is>
          <t>jan</t>
        </is>
      </c>
      <c r="I5" s="36">
        <f>SUMPRODUCT((MONTH(Mutaties!$B$4:$B$13)=1)*(Mutaties!$M$4:$M$13))</f>
        <v/>
      </c>
    </row>
    <row r="6">
      <c r="A6" s="3" t="inlineStr">
        <is>
          <t>Totaal meerwerk excl. btw</t>
        </is>
      </c>
      <c r="B6" s="27">
        <f>SUM(Projecten!H4:H11)</f>
        <v/>
      </c>
      <c r="D6" s="3" t="n">
        <v>2</v>
      </c>
      <c r="E6" s="3">
        <f>IFERROR(INDEX(Projecten!$B$4:$B$11,MATCH(LARGE(Projecten!$J$4:$J$11,D6),Projecten!$J$4:$J$11,0)),"")</f>
        <v/>
      </c>
      <c r="F6" s="37">
        <f>IFERROR(LARGE(Projecten!$J$4:$J$11,D6),0)</f>
        <v/>
      </c>
      <c r="H6" s="3" t="inlineStr">
        <is>
          <t>feb</t>
        </is>
      </c>
      <c r="I6" s="37">
        <f>I5+SUMPRODUCT((MONTH(Mutaties!$B$4:$B$13)=2)*(Mutaties!$M$4:$M$13))</f>
        <v/>
      </c>
    </row>
    <row r="7">
      <c r="A7" s="11" t="inlineStr">
        <is>
          <t>Totaal minderwerk excl. btw</t>
        </is>
      </c>
      <c r="B7" s="31">
        <f>SUM(Projecten!I4:I11)</f>
        <v/>
      </c>
      <c r="D7" s="11" t="n">
        <v>3</v>
      </c>
      <c r="E7" s="11">
        <f>IFERROR(INDEX(Projecten!$B$4:$B$11,MATCH(LARGE(Projecten!$J$4:$J$11,D7),Projecten!$J$4:$J$11,0)),"")</f>
        <v/>
      </c>
      <c r="F7" s="36">
        <f>IFERROR(LARGE(Projecten!$J$4:$J$11,D7),0)</f>
        <v/>
      </c>
      <c r="H7" s="11" t="inlineStr">
        <is>
          <t>mrt</t>
        </is>
      </c>
      <c r="I7" s="36">
        <f>I6+SUMPRODUCT((MONTH(Mutaties!$B$4:$B$13)=3)*(Mutaties!$M$4:$M$13))</f>
        <v/>
      </c>
    </row>
    <row r="8">
      <c r="A8" s="3" t="inlineStr">
        <is>
          <t>Netto mutatie excl. btw</t>
        </is>
      </c>
      <c r="B8" s="27">
        <f>SUM(Projecten!J4:J11)</f>
        <v/>
      </c>
      <c r="D8" s="3" t="n">
        <v>4</v>
      </c>
      <c r="E8" s="3">
        <f>IFERROR(INDEX(Projecten!$B$4:$B$11,MATCH(LARGE(Projecten!$J$4:$J$11,D8),Projecten!$J$4:$J$11,0)),"")</f>
        <v/>
      </c>
      <c r="F8" s="37">
        <f>IFERROR(LARGE(Projecten!$J$4:$J$11,D8),0)</f>
        <v/>
      </c>
      <c r="H8" s="3" t="inlineStr">
        <is>
          <t>apr</t>
        </is>
      </c>
      <c r="I8" s="37">
        <f>I7+SUMPRODUCT((MONTH(Mutaties!$B$4:$B$13)=4)*(Mutaties!$M$4:$M$13))</f>
        <v/>
      </c>
    </row>
    <row r="9">
      <c r="A9" s="11" t="inlineStr">
        <is>
          <t>Verwachte facturatie (incl. btw)</t>
        </is>
      </c>
      <c r="B9" s="31">
        <f>SUMIF(Mutaties!Q4:Q13,"Gefactureerd",Mutaties!P4:P13)</f>
        <v/>
      </c>
      <c r="D9" s="11" t="n">
        <v>5</v>
      </c>
      <c r="E9" s="11">
        <f>IFERROR(INDEX(Projecten!$B$4:$B$11,MATCH(LARGE(Projecten!$J$4:$J$11,D9),Projecten!$J$4:$J$11,0)),"")</f>
        <v/>
      </c>
      <c r="F9" s="36">
        <f>IFERROR(LARGE(Projecten!$J$4:$J$11,D9),0)</f>
        <v/>
      </c>
      <c r="H9" s="11" t="inlineStr">
        <is>
          <t>mei</t>
        </is>
      </c>
      <c r="I9" s="36">
        <f>I8+SUMPRODUCT((MONTH(Mutaties!$B$4:$B$13)=5)*(Mutaties!$M$4:$M$13))</f>
        <v/>
      </c>
    </row>
    <row r="10">
      <c r="A10" s="3" t="inlineStr">
        <is>
          <t>Openstaande posten (aantal)</t>
        </is>
      </c>
      <c r="B10" s="17">
        <f>COUNTIF(Mutaties!Q4:Q13,"Gemeld")+COUNTIF(Mutaties!Q4:Q13,"Goedgekeurd")</f>
        <v/>
      </c>
      <c r="H10" s="3" t="inlineStr">
        <is>
          <t>jun</t>
        </is>
      </c>
      <c r="I10" s="37">
        <f>I9+SUMPRODUCT((MONTH(Mutaties!$B$4:$B$13)=6)*(Mutaties!$M$4:$M$13))</f>
        <v/>
      </c>
    </row>
    <row r="11">
      <c r="A11" s="11" t="inlineStr">
        <is>
          <t>Gemiddelde mutatie per project</t>
        </is>
      </c>
      <c r="B11" s="31">
        <f>IFERROR(AVERAGE(Projecten!J4:J11),0)</f>
        <v/>
      </c>
      <c r="H11" s="11" t="inlineStr">
        <is>
          <t>jul</t>
        </is>
      </c>
      <c r="I11" s="36">
        <f>I10+SUMPRODUCT((MONTH(Mutaties!$B$4:$B$13)=7)*(Mutaties!$M$4:$M$13))</f>
        <v/>
      </c>
    </row>
    <row r="12">
      <c r="A12" s="3" t="inlineStr">
        <is>
          <t>Mutatie t.o.v. contractwaarde</t>
        </is>
      </c>
      <c r="B12" s="38">
        <f>IFERROR(B8/B5,0)</f>
        <v/>
      </c>
      <c r="H12" s="3" t="inlineStr">
        <is>
          <t>aug</t>
        </is>
      </c>
      <c r="I12" s="37">
        <f>I11+SUMPRODUCT((MONTH(Mutaties!$B$4:$B$13)=8)*(Mutaties!$M$4:$M$13))</f>
        <v/>
      </c>
    </row>
    <row r="13">
      <c r="A13" s="11" t="inlineStr">
        <is>
          <t>Aandeel meerwerk in mutaties</t>
        </is>
      </c>
      <c r="B13" s="39">
        <f>IFERROR(B6/(B6+B7),0)</f>
        <v/>
      </c>
      <c r="H13" s="11" t="inlineStr">
        <is>
          <t>sep</t>
        </is>
      </c>
      <c r="I13" s="36">
        <f>I12+SUMPRODUCT((MONTH(Mutaties!$B$4:$B$13)=9)*(Mutaties!$M$4:$M$13))</f>
        <v/>
      </c>
    </row>
    <row r="14">
      <c r="A14" s="3" t="inlineStr">
        <is>
          <t>Aandeel minderwerk in mutaties</t>
        </is>
      </c>
      <c r="B14" s="38">
        <f>IFERROR(B7/(B6+B7),0)</f>
        <v/>
      </c>
      <c r="H14" s="3" t="inlineStr">
        <is>
          <t>okt</t>
        </is>
      </c>
      <c r="I14" s="37">
        <f>I13+SUMPRODUCT((MONTH(Mutaties!$B$4:$B$13)=10)*(Mutaties!$M$4:$M$13))</f>
        <v/>
      </c>
    </row>
    <row r="15">
      <c r="H15" s="11" t="inlineStr">
        <is>
          <t>nov</t>
        </is>
      </c>
      <c r="I15" s="36">
        <f>I14+SUMPRODUCT((MONTH(Mutaties!$B$4:$B$13)=11)*(Mutaties!$M$4:$M$13))</f>
        <v/>
      </c>
    </row>
    <row r="16">
      <c r="A16" s="16" t="inlineStr">
        <is>
          <t>Projectstatus telling</t>
        </is>
      </c>
      <c r="B16" s="34" t="n"/>
      <c r="H16" s="3" t="inlineStr">
        <is>
          <t>dec</t>
        </is>
      </c>
      <c r="I16" s="37">
        <f>I15+SUMPRODUCT((MONTH(Mutaties!$B$4:$B$13)=12)*(Mutaties!$M$4:$M$13))</f>
        <v/>
      </c>
    </row>
    <row r="17">
      <c r="A17" s="3" t="inlineStr">
        <is>
          <t>Loopt</t>
        </is>
      </c>
      <c r="B17" s="3">
        <f>COUNTIF(Projecten!$N$4:$N$11,A17)</f>
        <v/>
      </c>
    </row>
    <row r="18">
      <c r="A18" s="11" t="inlineStr">
        <is>
          <t>Afgerond</t>
        </is>
      </c>
      <c r="B18" s="11">
        <f>COUNTIF(Projecten!$N$4:$N$11,A18)</f>
        <v/>
      </c>
    </row>
    <row r="19">
      <c r="A19" s="3" t="inlineStr">
        <is>
          <t>On hold</t>
        </is>
      </c>
      <c r="B19" s="3">
        <f>COUNTIF(Projecten!$N$4:$N$11,A19)</f>
        <v/>
      </c>
      <c r="H19" s="16" t="inlineStr">
        <is>
          <t>Statusverdeling mutaties</t>
        </is>
      </c>
      <c r="I19" s="34" t="n"/>
    </row>
    <row r="20">
      <c r="H20" s="3" t="inlineStr">
        <is>
          <t>Gemeld (open)</t>
        </is>
      </c>
      <c r="I20" s="3">
        <f>COUNTIF(Mutaties!$Q$4:$Q$13,"Gemeld")</f>
        <v/>
      </c>
    </row>
    <row r="21">
      <c r="A21" s="16" t="inlineStr">
        <is>
          <t>Zoek project</t>
        </is>
      </c>
      <c r="B21" s="34" t="n"/>
      <c r="H21" s="11" t="inlineStr">
        <is>
          <t>Goedgekeurd</t>
        </is>
      </c>
      <c r="I21" s="11">
        <f>COUNTIF(Mutaties!$Q$4:$Q$13,"Goedgekeurd")</f>
        <v/>
      </c>
    </row>
    <row r="22">
      <c r="A22" s="22" t="inlineStr">
        <is>
          <t>Projectnummer invoeren</t>
        </is>
      </c>
      <c r="B22" s="5" t="inlineStr">
        <is>
          <t>PRJ-001</t>
        </is>
      </c>
      <c r="H22" s="3" t="inlineStr">
        <is>
          <t>Gefactureerd</t>
        </is>
      </c>
      <c r="I22" s="3">
        <f>COUNTIF(Mutaties!$Q$4:$Q$13,"Gefactureerd")</f>
        <v/>
      </c>
    </row>
    <row r="23">
      <c r="A23" s="22" t="inlineStr">
        <is>
          <t>Projectnaam</t>
        </is>
      </c>
      <c r="B23" s="22">
        <f>IFERROR(VLOOKUP(B22,Projecten!$A$4:$B$11,2,FALSE),"Niet gevonden")</f>
        <v/>
      </c>
    </row>
    <row r="24">
      <c r="A24" s="22" t="inlineStr">
        <is>
          <t>Opdrachtgever</t>
        </is>
      </c>
      <c r="B24" s="22">
        <f>IFERROR(VLOOKUP(B22,Projecten!$A$4:$C$11,3,FALSE),"Niet gevonden")</f>
        <v/>
      </c>
    </row>
  </sheetData>
  <mergeCells count="7">
    <mergeCell ref="A1:F1"/>
    <mergeCell ref="A3:B3"/>
    <mergeCell ref="D3:F3"/>
    <mergeCell ref="A16:B16"/>
    <mergeCell ref="A21:B21"/>
    <mergeCell ref="H3:I3"/>
    <mergeCell ref="H19:I19"/>
  </mergeCells>
  <conditionalFormatting sqref="B8">
    <cfRule type="expression" priority="1" dxfId="2">
      <formula>B8&lt;0</formula>
    </cfRule>
    <cfRule type="expression" priority="2" dxfId="3">
      <formula>B8&gt;=0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Instructies - Meerwerk / Minderwerk Sjabloon</t>
        </is>
      </c>
    </row>
    <row r="2"/>
    <row r="3">
      <c r="A3" s="16" t="inlineStr">
        <is>
          <t>Gebruik van dit werkboek</t>
        </is>
      </c>
      <c r="B3" s="34" t="n"/>
    </row>
    <row r="4"/>
    <row r="5" ht="34" customHeight="1">
      <c r="A5" s="23" t="inlineStr">
        <is>
          <t>Nieuwe mutatie invoeren</t>
        </is>
      </c>
      <c r="B5" s="24" t="inlineStr">
        <is>
          <t>Ga naar het tabblad "Mutaties" en voeg een nieuwe regel toe onder de laatste rij. Vul reg. nummer, datum, project, type mutatie (Meerwerk/Minderwerk), uren, tarief en materiaalkosten in. De totalen en btw worden automatisch berekend.</t>
        </is>
      </c>
    </row>
    <row r="6" ht="34" customHeight="1">
      <c r="A6" s="23" t="inlineStr">
        <is>
          <t>Status Gemeld</t>
        </is>
      </c>
      <c r="B6" s="24" t="inlineStr">
        <is>
          <t>De mutatie is gemeld bij de opdrachtgever maar nog niet beoordeeld.</t>
        </is>
      </c>
    </row>
    <row r="7" ht="34" customHeight="1">
      <c r="A7" s="23" t="inlineStr">
        <is>
          <t>Status Goedgekeurd</t>
        </is>
      </c>
      <c r="B7" s="24" t="inlineStr">
        <is>
          <t>De opdrachtgever heeft de mutatie geaccordeerd; facturatie kan worden voorbereid.</t>
        </is>
      </c>
    </row>
    <row r="8" ht="34" customHeight="1">
      <c r="A8" s="23" t="inlineStr">
        <is>
          <t>Status Gefactureerd</t>
        </is>
      </c>
      <c r="B8" s="24" t="inlineStr">
        <is>
          <t>De mutatie is opgenomen in een factuur richting de opdrachtgever.</t>
        </is>
      </c>
    </row>
    <row r="9" ht="34" customHeight="1">
      <c r="A9" s="23" t="inlineStr">
        <is>
          <t>Status Afgewezen</t>
        </is>
      </c>
      <c r="B9" s="24" t="inlineStr">
        <is>
          <t>De mutatie is niet akkoord bevonden en telt niet mee in de facturatie.</t>
        </is>
      </c>
    </row>
    <row r="10" ht="34" customHeight="1">
      <c r="A10" s="23" t="inlineStr">
        <is>
          <t>Kolom Actie</t>
        </is>
      </c>
      <c r="B10" s="24" t="inlineStr">
        <is>
          <t>Toont "Actie nodig" wanneer een mutatie is goedgekeurd maar nog niet volledig is betaald.</t>
        </is>
      </c>
    </row>
    <row r="11" ht="34" customHeight="1">
      <c r="A11" s="23" t="inlineStr">
        <is>
          <t>Kopregels</t>
        </is>
      </c>
      <c r="B11" s="24" t="inlineStr">
        <is>
          <t>Donkerteal (#0F766E) met witte tekst geven de hoofdkolommen aan.</t>
        </is>
      </c>
    </row>
    <row r="12" ht="34" customHeight="1">
      <c r="A12" s="23" t="inlineStr">
        <is>
          <t>Tussenkoppen</t>
        </is>
      </c>
      <c r="B12" s="24" t="inlineStr">
        <is>
          <t>Teal (#14B8A6) blokken markeren subkopjes en dashboardsecties.</t>
        </is>
      </c>
    </row>
    <row r="13" ht="34" customHeight="1">
      <c r="A13" s="23" t="inlineStr">
        <is>
          <t>Invoervelden</t>
        </is>
      </c>
      <c r="B13" s="24" t="inlineStr">
        <is>
          <t>Lichtgeel gearceerde cellen (#FFFBEB) zijn bedoeld om handmatig in te vullen of te wijzigen.</t>
        </is>
      </c>
    </row>
    <row r="14" ht="34" customHeight="1">
      <c r="A14" s="23" t="inlineStr">
        <is>
          <t>Positieve waarden</t>
        </is>
      </c>
      <c r="B14" s="24" t="inlineStr">
        <is>
          <t>Groen (#16A34A) geeft een positieve mutatie of gunstige marge-impact aan.</t>
        </is>
      </c>
    </row>
    <row r="15" ht="34" customHeight="1">
      <c r="A15" s="23" t="inlineStr">
        <is>
          <t>Negatieve/waarschuwing</t>
        </is>
      </c>
      <c r="B15" s="24" t="inlineStr">
        <is>
          <t>Rood (#DC2626) geeft een negatieve mutatie, achterstallige betaling of afwijzing aan.</t>
        </is>
      </c>
    </row>
    <row r="16" ht="34" customHeight="1">
      <c r="A16" s="23" t="inlineStr">
        <is>
          <t>Datumnotatie</t>
        </is>
      </c>
      <c r="B16" s="24" t="inlineStr">
        <is>
          <t>Alle datums zijn weergegeven in het Nederlandse formaat DD-MM-JJJJ.</t>
        </is>
      </c>
    </row>
    <row r="17" ht="34" customHeight="1">
      <c r="A17" s="23" t="inlineStr">
        <is>
          <t>Valutanotatie</t>
        </is>
      </c>
      <c r="B17" s="24" t="inlineStr">
        <is>
          <t>Alle bedragen zijn weergegeven als € 1.234,56 (punt voor duizendtallen, komma voor decimalen).</t>
        </is>
      </c>
    </row>
    <row r="18" ht="34" customHeight="1">
      <c r="A18" s="23" t="inlineStr">
        <is>
          <t>Sheetbeveiliging</t>
        </is>
      </c>
      <c r="B18" s="24" t="inlineStr">
        <is>
          <t>Dit werkboek bevat GEEN sheetbeveiliging. Wees voorzichtig bij het overschrijven van formulecellen.</t>
        </is>
      </c>
    </row>
    <row r="19" ht="34" customHeight="1">
      <c r="A19" s="23" t="inlineStr">
        <is>
          <t>Filters</t>
        </is>
      </c>
      <c r="B19" s="24" t="inlineStr">
        <is>
          <t>De tabellen "Mutaties" en "Projecten" hebben autofilters ingeschakeld op de headerrij voor snel filteren en sorteren.</t>
        </is>
      </c>
    </row>
  </sheetData>
  <mergeCells count="2">
    <mergeCell ref="A1:B1"/>
    <mergeCell ref="A3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2026-07-02T22:23:03Z</dcterms:created>
  <dcterms:modified xmlns:dcterms="http://purl.org/dc/terms/" xmlns:xsi="http://www.w3.org/2001/XMLSchema-instance" xsi:type="dcterms:W3CDTF">2026-07-02T22:23:03Z</dcterms:modified>
</cp:coreProperties>
</file>