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te" sheetId="1" state="visible" r:id="rId1"/>
    <sheet xmlns:r="http://schemas.openxmlformats.org/officeDocument/2006/relationships" name="Calculatie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nstructi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-MM-JJJJ"/>
    <numFmt numFmtId="165" formatCode="&quot;€&quot; #.##0,00"/>
  </numFmts>
  <fonts count="5">
    <font>
      <name val="Calibri"/>
      <family val="2"/>
      <color theme="1"/>
      <sz val="11"/>
      <scheme val="minor"/>
    </font>
    <font>
      <name val="Calibri"/>
      <b val="1"/>
      <color rgb="001E293B"/>
      <sz val="16"/>
    </font>
    <font>
      <name val="Calibri"/>
      <b val="1"/>
      <color rgb="00FFFFFF"/>
      <sz val="11"/>
    </font>
    <font>
      <b val="1"/>
    </font>
    <font>
      <b val="1"/>
      <color rgb="0016A34A"/>
    </font>
  </fonts>
  <fills count="7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C8102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164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165" fontId="0" fillId="3" borderId="1" applyAlignment="1" pivotButton="0" quotePrefix="0" xfId="0">
      <alignment horizontal="right" vertical="center"/>
    </xf>
    <xf numFmtId="9" fontId="0" fillId="3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 wrapText="1"/>
    </xf>
    <xf numFmtId="164" fontId="0" fillId="5" borderId="1" applyAlignment="1" pivotButton="0" quotePrefix="0" xfId="0">
      <alignment horizontal="center" vertical="center" wrapText="1"/>
    </xf>
    <xf numFmtId="165" fontId="0" fillId="5" borderId="1" applyAlignment="1" pivotButton="0" quotePrefix="0" xfId="0">
      <alignment horizontal="right" vertical="center"/>
    </xf>
    <xf numFmtId="9" fontId="0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5" fontId="3" fillId="0" borderId="1" applyAlignment="1" pivotButton="0" quotePrefix="0" xfId="0">
      <alignment horizontal="right"/>
    </xf>
    <xf numFmtId="1" fontId="3" fillId="0" borderId="1" applyAlignment="1" pivotButton="0" quotePrefix="0" xfId="0">
      <alignment horizontal="right"/>
    </xf>
    <xf numFmtId="9" fontId="3" fillId="0" borderId="1" applyAlignment="1" pivotButton="0" quotePrefix="0" xfId="0">
      <alignment horizontal="right"/>
    </xf>
    <xf numFmtId="0" fontId="1" fillId="0" borderId="0" pivotButton="0" quotePrefix="0" xfId="0"/>
    <xf numFmtId="0" fontId="0" fillId="3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right"/>
    </xf>
    <xf numFmtId="9" fontId="0" fillId="4" borderId="1" applyAlignment="1" pivotButton="0" quotePrefix="0" xfId="0">
      <alignment horizontal="center" vertical="center" wrapText="1"/>
    </xf>
    <xf numFmtId="165" fontId="0" fillId="3" borderId="1" applyAlignment="1" pivotButton="0" quotePrefix="0" xfId="0">
      <alignment horizontal="right"/>
    </xf>
    <xf numFmtId="0" fontId="0" fillId="5" borderId="1" applyAlignment="1" pivotButton="0" quotePrefix="0" xfId="0">
      <alignment horizontal="center" vertical="center" wrapText="1"/>
    </xf>
    <xf numFmtId="165" fontId="0" fillId="5" borderId="1" applyAlignment="1" pivotButton="0" quotePrefix="0" xfId="0">
      <alignment horizontal="right"/>
    </xf>
    <xf numFmtId="0" fontId="2" fillId="6" borderId="0" pivotButton="0" quotePrefix="0" xfId="0"/>
    <xf numFmtId="0" fontId="3" fillId="3" borderId="1" pivotButton="0" quotePrefix="0" xfId="0"/>
    <xf numFmtId="1" fontId="0" fillId="3" borderId="1" applyAlignment="1" pivotButton="0" quotePrefix="0" xfId="0">
      <alignment horizontal="right"/>
    </xf>
    <xf numFmtId="0" fontId="3" fillId="5" borderId="1" pivotButton="0" quotePrefix="0" xfId="0"/>
    <xf numFmtId="1" fontId="0" fillId="5" borderId="1" applyAlignment="1" pivotButton="0" quotePrefix="0" xfId="0">
      <alignment horizontal="right"/>
    </xf>
    <xf numFmtId="9" fontId="0" fillId="5" borderId="1" applyAlignment="1" pivotButton="0" quotePrefix="0" xfId="0">
      <alignment horizontal="right"/>
    </xf>
    <xf numFmtId="0" fontId="4" fillId="3" borderId="1" applyAlignment="1" pivotButton="0" quotePrefix="0" xfId="0">
      <alignment horizontal="right"/>
    </xf>
    <xf numFmtId="0" fontId="2" fillId="2" borderId="1" pivotButton="0" quotePrefix="0" xfId="0"/>
    <xf numFmtId="0" fontId="0" fillId="3" borderId="1" pivotButton="0" quotePrefix="0" xfId="0"/>
    <xf numFmtId="0" fontId="0" fillId="5" borderId="1" pivotButton="0" quotePrefix="0" xfId="0"/>
    <xf numFmtId="0" fontId="3" fillId="3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b val="1"/>
        <color rgb="00FFFFFF"/>
      </font>
      <fill>
        <patternFill patternType="solid">
          <fgColor rgb="0016A34A"/>
        </patternFill>
      </fill>
    </dxf>
    <dxf>
      <font>
        <b val="1"/>
        <color rgb="00FFFFFF"/>
      </font>
      <fill>
        <patternFill patternType="solid">
          <fgColor rgb="00DC2626"/>
        </patternFill>
      </fill>
    </dxf>
    <dxf>
      <fill>
        <patternFill patternType="solid">
          <fgColor rgb="00FEF9C3"/>
        </patternFill>
      </fill>
    </dxf>
    <dxf>
      <fill>
        <patternFill patternType="solid">
          <fgColor rgb="00DBEAF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Omzet per werksoort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'Dashboard'!B16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'Dashboard'!$A$17:$A$26</f>
            </numRef>
          </cat>
          <val>
            <numRef>
              <f>'Dashboard'!$B$17:$B$26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Werksoort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Omzet excl. btw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Verdeling offertes per status</a:t>
            </a:r>
          </a:p>
        </rich>
      </tx>
    </title>
    <plotArea>
      <pieChart>
        <varyColors val="1"/>
        <ser>
          <idx val="0"/>
          <order val="0"/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'Dashboard'!$A$5:$A$8</f>
            </numRef>
          </cat>
          <val>
            <numRef>
              <f>'Dashboard'!$B$5:$B$8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Offertewaarde per datum</a:t>
            </a:r>
          </a:p>
        </rich>
      </tx>
    </title>
    <plotArea>
      <lineChart>
        <grouping val="standard"/>
        <ser>
          <idx val="0"/>
          <order val="0"/>
          <tx>
            <strRef>
              <f>'Offerte'!P3</f>
            </strRef>
          </tx>
          <spPr>
            <a:ln xmlns:a="http://schemas.openxmlformats.org/drawingml/2006/main">
              <a:solidFill>
                <a:srgbClr val="1E293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'Offerte'!$B$4:$B$12</f>
            </numRef>
          </cat>
          <val>
            <numRef>
              <f>'Offerte'!$P$4:$P$12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Datum offerte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Regeltotaal incl. btw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720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18</row>
      <rowOff>0</rowOff>
    </from>
    <ext cx="432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2</row>
      <rowOff>0</rowOff>
    </from>
    <ext cx="720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8" customWidth="1" min="4" max="4"/>
    <col width="24" customWidth="1" min="5" max="5"/>
    <col width="14" customWidth="1" min="6" max="6"/>
    <col width="10" customWidth="1" min="7" max="7"/>
    <col width="18" customWidth="1" min="8" max="8"/>
    <col width="32" customWidth="1" min="9" max="9"/>
    <col width="9" customWidth="1" min="10" max="10"/>
    <col width="12" customWidth="1" min="11" max="11"/>
    <col width="14" customWidth="1" min="12" max="12"/>
    <col width="16" customWidth="1" min="13" max="13"/>
    <col width="12" customWidth="1" min="14" max="14"/>
    <col width="12" customWidth="1" min="15" max="15"/>
    <col width="16" customWidth="1" min="16" max="16"/>
    <col width="15" customWidth="1" min="17" max="17"/>
    <col width="18" customWidth="1" min="18" max="18"/>
  </cols>
  <sheetData>
    <row r="1">
      <c r="A1" s="1" t="inlineStr">
        <is>
          <t>Offerte Hovenier - Overzicht offertes 2026</t>
        </is>
      </c>
    </row>
    <row r="2"/>
    <row r="3">
      <c r="A3" s="2" t="inlineStr">
        <is>
          <t>Offerte-ID</t>
        </is>
      </c>
      <c r="B3" s="2" t="inlineStr">
        <is>
          <t>Datum offerte</t>
        </is>
      </c>
      <c r="C3" s="2" t="inlineStr">
        <is>
          <t>Geldig t/m</t>
        </is>
      </c>
      <c r="D3" s="2" t="inlineStr">
        <is>
          <t>Klantnaam</t>
        </is>
      </c>
      <c r="E3" s="2" t="inlineStr">
        <is>
          <t>Projectadres</t>
        </is>
      </c>
      <c r="F3" s="2" t="inlineStr">
        <is>
          <t>Plaats</t>
        </is>
      </c>
      <c r="G3" s="2" t="inlineStr">
        <is>
          <t>Werkcode</t>
        </is>
      </c>
      <c r="H3" s="2" t="inlineStr">
        <is>
          <t>Werksoort</t>
        </is>
      </c>
      <c r="I3" s="2" t="inlineStr">
        <is>
          <t>Omschrijving werkpost</t>
        </is>
      </c>
      <c r="J3" s="2" t="inlineStr">
        <is>
          <t>Aantal</t>
        </is>
      </c>
      <c r="K3" s="2" t="inlineStr">
        <is>
          <t>Eenheid</t>
        </is>
      </c>
      <c r="L3" s="2" t="inlineStr">
        <is>
          <t>Tarief per eenheid</t>
        </is>
      </c>
      <c r="M3" s="2" t="inlineStr">
        <is>
          <t>Regeltotaal excl. btw</t>
        </is>
      </c>
      <c r="N3" s="2" t="inlineStr">
        <is>
          <t>Btw-percentage</t>
        </is>
      </c>
      <c r="O3" s="2" t="inlineStr">
        <is>
          <t>Btw-bedrag</t>
        </is>
      </c>
      <c r="P3" s="2" t="inlineStr">
        <is>
          <t>Regeltotaal incl. btw</t>
        </is>
      </c>
      <c r="Q3" s="2" t="inlineStr">
        <is>
          <t>Status</t>
        </is>
      </c>
      <c r="R3" s="2" t="inlineStr">
        <is>
          <t>Type offerte</t>
        </is>
      </c>
    </row>
    <row r="4">
      <c r="A4" s="3" t="inlineStr">
        <is>
          <t>OFF-2026-001</t>
        </is>
      </c>
      <c r="B4" s="4" t="inlineStr">
        <is>
          <t>05-01-2026</t>
        </is>
      </c>
      <c r="C4" s="4" t="inlineStr">
        <is>
          <t>04-02-2026</t>
        </is>
      </c>
      <c r="D4" s="3" t="inlineStr">
        <is>
          <t>Sanne de Vries</t>
        </is>
      </c>
      <c r="E4" s="3" t="inlineStr">
        <is>
          <t>Tuinstraat 12</t>
        </is>
      </c>
      <c r="F4" s="3" t="inlineStr">
        <is>
          <t>Amsterdam</t>
        </is>
      </c>
      <c r="G4" s="5" t="inlineStr">
        <is>
          <t>W01</t>
        </is>
      </c>
      <c r="H4" s="3">
        <f>IFERROR(VLOOKUP(G4,Calculatie!$A$4:$K$13,2,FALSE),"")</f>
        <v/>
      </c>
      <c r="I4" s="6" t="inlineStr">
        <is>
          <t>Compleet tuinontwerp met sfeerimpressie</t>
        </is>
      </c>
      <c r="J4" s="6" t="n">
        <v>1</v>
      </c>
      <c r="K4" s="5" t="inlineStr">
        <is>
          <t>per ontwerp</t>
        </is>
      </c>
      <c r="L4" s="7">
        <f>IFERROR(VLOOKUP(G4,Calculatie!$A$4:$K$13,8,FALSE),0)</f>
        <v/>
      </c>
      <c r="M4" s="7">
        <f>J4*L4</f>
        <v/>
      </c>
      <c r="N4" s="8">
        <f>IFERROR(VLOOKUP(G4,Calculatie!$A$4:$K$13,9,FALSE),0.21)</f>
        <v/>
      </c>
      <c r="O4" s="7">
        <f>M4*N4</f>
        <v/>
      </c>
      <c r="P4" s="7">
        <f>M4+O4</f>
        <v/>
      </c>
      <c r="Q4" s="5" t="inlineStr">
        <is>
          <t>Geaccepteerd</t>
        </is>
      </c>
      <c r="R4" s="3">
        <f>IF(P4&gt;5000,"Grote offerte","Standaard offerte")</f>
        <v/>
      </c>
    </row>
    <row r="5">
      <c r="A5" s="9" t="inlineStr">
        <is>
          <t>OFF-2026-002</t>
        </is>
      </c>
      <c r="B5" s="10" t="inlineStr">
        <is>
          <t>12-01-2026</t>
        </is>
      </c>
      <c r="C5" s="10" t="inlineStr">
        <is>
          <t>11-02-2026</t>
        </is>
      </c>
      <c r="D5" s="9" t="inlineStr">
        <is>
          <t>Daan Bakker</t>
        </is>
      </c>
      <c r="E5" s="9" t="inlineStr">
        <is>
          <t>Rotterdamseweg 45</t>
        </is>
      </c>
      <c r="F5" s="9" t="inlineStr">
        <is>
          <t>Rotterdam</t>
        </is>
      </c>
      <c r="G5" s="5" t="inlineStr">
        <is>
          <t>W02</t>
        </is>
      </c>
      <c r="H5" s="9">
        <f>IFERROR(VLOOKUP(G5,Calculatie!$A$4:$K$13,2,FALSE),"")</f>
        <v/>
      </c>
      <c r="I5" s="6" t="inlineStr">
        <is>
          <t>Aanleg nieuwe achtertuin inclusief beplanting</t>
        </is>
      </c>
      <c r="J5" s="6" t="n">
        <v>80</v>
      </c>
      <c r="K5" s="5" t="inlineStr">
        <is>
          <t>m2</t>
        </is>
      </c>
      <c r="L5" s="11">
        <f>IFERROR(VLOOKUP(G5,Calculatie!$A$4:$K$13,8,FALSE),0)</f>
        <v/>
      </c>
      <c r="M5" s="11">
        <f>J5*L5</f>
        <v/>
      </c>
      <c r="N5" s="12">
        <f>IFERROR(VLOOKUP(G5,Calculatie!$A$4:$K$13,9,FALSE),0.21)</f>
        <v/>
      </c>
      <c r="O5" s="11">
        <f>M5*N5</f>
        <v/>
      </c>
      <c r="P5" s="11">
        <f>M5+O5</f>
        <v/>
      </c>
      <c r="Q5" s="5" t="inlineStr">
        <is>
          <t>In behandeling</t>
        </is>
      </c>
      <c r="R5" s="9">
        <f>IF(P5&gt;5000,"Grote offerte","Standaard offerte")</f>
        <v/>
      </c>
    </row>
    <row r="6">
      <c r="A6" s="3" t="inlineStr">
        <is>
          <t>OFF-2026-003</t>
        </is>
      </c>
      <c r="B6" s="4" t="inlineStr">
        <is>
          <t>20-01-2026</t>
        </is>
      </c>
      <c r="C6" s="4" t="inlineStr">
        <is>
          <t>19-02-2026</t>
        </is>
      </c>
      <c r="D6" s="3" t="inlineStr">
        <is>
          <t>Emma Jansen</t>
        </is>
      </c>
      <c r="E6" s="3" t="inlineStr">
        <is>
          <t>Domplein 8</t>
        </is>
      </c>
      <c r="F6" s="3" t="inlineStr">
        <is>
          <t>Utrecht</t>
        </is>
      </c>
      <c r="G6" s="5" t="inlineStr">
        <is>
          <t>W03</t>
        </is>
      </c>
      <c r="H6" s="3">
        <f>IFERROR(VLOOKUP(G6,Calculatie!$A$4:$K$13,2,FALSE),"")</f>
        <v/>
      </c>
      <c r="I6" s="6" t="inlineStr">
        <is>
          <t>Terrasbestrating in gebakken klinkers</t>
        </is>
      </c>
      <c r="J6" s="6" t="n">
        <v>45</v>
      </c>
      <c r="K6" s="5" t="inlineStr">
        <is>
          <t>m2</t>
        </is>
      </c>
      <c r="L6" s="7">
        <f>IFERROR(VLOOKUP(G6,Calculatie!$A$4:$K$13,8,FALSE),0)</f>
        <v/>
      </c>
      <c r="M6" s="7">
        <f>J6*L6</f>
        <v/>
      </c>
      <c r="N6" s="8">
        <f>IFERROR(VLOOKUP(G6,Calculatie!$A$4:$K$13,9,FALSE),0.21)</f>
        <v/>
      </c>
      <c r="O6" s="7">
        <f>M6*N6</f>
        <v/>
      </c>
      <c r="P6" s="7">
        <f>M6+O6</f>
        <v/>
      </c>
      <c r="Q6" s="5" t="inlineStr">
        <is>
          <t>Open</t>
        </is>
      </c>
      <c r="R6" s="3">
        <f>IF(P6&gt;5000,"Grote offerte","Standaard offerte")</f>
        <v/>
      </c>
    </row>
    <row r="7">
      <c r="A7" s="9" t="inlineStr">
        <is>
          <t>OFF-2026-004</t>
        </is>
      </c>
      <c r="B7" s="10" t="inlineStr">
        <is>
          <t>02-02-2026</t>
        </is>
      </c>
      <c r="C7" s="10" t="inlineStr">
        <is>
          <t>04-03-2026</t>
        </is>
      </c>
      <c r="D7" s="9" t="inlineStr">
        <is>
          <t>Lars van Dijk</t>
        </is>
      </c>
      <c r="E7" s="9" t="inlineStr">
        <is>
          <t>Kerkstraat 3</t>
        </is>
      </c>
      <c r="F7" s="9" t="inlineStr">
        <is>
          <t>Eindhoven</t>
        </is>
      </c>
      <c r="G7" s="5" t="inlineStr">
        <is>
          <t>W04</t>
        </is>
      </c>
      <c r="H7" s="9">
        <f>IFERROR(VLOOKUP(G7,Calculatie!$A$4:$K$13,2,FALSE),"")</f>
        <v/>
      </c>
      <c r="I7" s="6" t="inlineStr">
        <is>
          <t>Snoeien en vormen van beukenhagen</t>
        </is>
      </c>
      <c r="J7" s="6" t="n">
        <v>6</v>
      </c>
      <c r="K7" s="5" t="inlineStr">
        <is>
          <t>uur</t>
        </is>
      </c>
      <c r="L7" s="11">
        <f>IFERROR(VLOOKUP(G7,Calculatie!$A$4:$K$13,8,FALSE),0)</f>
        <v/>
      </c>
      <c r="M7" s="11">
        <f>J7*L7</f>
        <v/>
      </c>
      <c r="N7" s="12">
        <f>IFERROR(VLOOKUP(G7,Calculatie!$A$4:$K$13,9,FALSE),0.21)</f>
        <v/>
      </c>
      <c r="O7" s="11">
        <f>M7*N7</f>
        <v/>
      </c>
      <c r="P7" s="11">
        <f>M7+O7</f>
        <v/>
      </c>
      <c r="Q7" s="5" t="inlineStr">
        <is>
          <t>Geaccepteerd</t>
        </is>
      </c>
      <c r="R7" s="9">
        <f>IF(P7&gt;5000,"Grote offerte","Standaard offerte")</f>
        <v/>
      </c>
    </row>
    <row r="8">
      <c r="A8" s="3" t="inlineStr">
        <is>
          <t>OFF-2026-005</t>
        </is>
      </c>
      <c r="B8" s="4" t="inlineStr">
        <is>
          <t>15-02-2026</t>
        </is>
      </c>
      <c r="C8" s="4" t="inlineStr">
        <is>
          <t>17-03-2026</t>
        </is>
      </c>
      <c r="D8" s="3" t="inlineStr">
        <is>
          <t>Sophie Visser</t>
        </is>
      </c>
      <c r="E8" s="3" t="inlineStr">
        <is>
          <t>Grote Markt 22</t>
        </is>
      </c>
      <c r="F8" s="3" t="inlineStr">
        <is>
          <t>Groningen</t>
        </is>
      </c>
      <c r="G8" s="5" t="inlineStr">
        <is>
          <t>W05</t>
        </is>
      </c>
      <c r="H8" s="3">
        <f>IFERROR(VLOOKUP(G8,Calculatie!$A$4:$K$13,2,FALSE),"")</f>
        <v/>
      </c>
      <c r="I8" s="6" t="inlineStr">
        <is>
          <t>Aanleg van rolgazon voorzijde woning</t>
        </is>
      </c>
      <c r="J8" s="6" t="n">
        <v>60</v>
      </c>
      <c r="K8" s="5" t="inlineStr">
        <is>
          <t>m2</t>
        </is>
      </c>
      <c r="L8" s="7">
        <f>IFERROR(VLOOKUP(G8,Calculatie!$A$4:$K$13,8,FALSE),0)</f>
        <v/>
      </c>
      <c r="M8" s="7">
        <f>J8*L8</f>
        <v/>
      </c>
      <c r="N8" s="8">
        <f>IFERROR(VLOOKUP(G8,Calculatie!$A$4:$K$13,9,FALSE),0.21)</f>
        <v/>
      </c>
      <c r="O8" s="7">
        <f>M8*N8</f>
        <v/>
      </c>
      <c r="P8" s="7">
        <f>M8+O8</f>
        <v/>
      </c>
      <c r="Q8" s="5" t="inlineStr">
        <is>
          <t>Geweigerd</t>
        </is>
      </c>
      <c r="R8" s="3">
        <f>IF(P8&gt;5000,"Grote offerte","Standaard offerte")</f>
        <v/>
      </c>
    </row>
    <row r="9">
      <c r="A9" s="9" t="inlineStr">
        <is>
          <t>OFF-2026-006</t>
        </is>
      </c>
      <c r="B9" s="10" t="inlineStr">
        <is>
          <t>01-03-2026</t>
        </is>
      </c>
      <c r="C9" s="10" t="inlineStr">
        <is>
          <t>31-03-2026</t>
        </is>
      </c>
      <c r="D9" s="9" t="inlineStr">
        <is>
          <t>Bram Smit</t>
        </is>
      </c>
      <c r="E9" s="9" t="inlineStr">
        <is>
          <t>Laan van Meerdervoort 100</t>
        </is>
      </c>
      <c r="F9" s="9" t="inlineStr">
        <is>
          <t>Den Haag</t>
        </is>
      </c>
      <c r="G9" s="5" t="inlineStr">
        <is>
          <t>W06</t>
        </is>
      </c>
      <c r="H9" s="9">
        <f>IFERROR(VLOOKUP(G9,Calculatie!$A$4:$K$13,2,FALSE),"")</f>
        <v/>
      </c>
      <c r="I9" s="6" t="inlineStr">
        <is>
          <t>Jaarlijks onderhoudscontract tuin</t>
        </is>
      </c>
      <c r="J9" s="6" t="n">
        <v>12</v>
      </c>
      <c r="K9" s="5" t="inlineStr">
        <is>
          <t>maand</t>
        </is>
      </c>
      <c r="L9" s="11">
        <f>IFERROR(VLOOKUP(G9,Calculatie!$A$4:$K$13,8,FALSE),0)</f>
        <v/>
      </c>
      <c r="M9" s="11">
        <f>J9*L9</f>
        <v/>
      </c>
      <c r="N9" s="12">
        <f>IFERROR(VLOOKUP(G9,Calculatie!$A$4:$K$13,9,FALSE),0.21)</f>
        <v/>
      </c>
      <c r="O9" s="11">
        <f>M9*N9</f>
        <v/>
      </c>
      <c r="P9" s="11">
        <f>M9+O9</f>
        <v/>
      </c>
      <c r="Q9" s="5" t="inlineStr">
        <is>
          <t>Geaccepteerd</t>
        </is>
      </c>
      <c r="R9" s="9">
        <f>IF(P9&gt;5000,"Grote offerte","Standaard offerte")</f>
        <v/>
      </c>
    </row>
    <row r="10">
      <c r="A10" s="3" t="inlineStr">
        <is>
          <t>OFF-2026-007</t>
        </is>
      </c>
      <c r="B10" s="4" t="inlineStr">
        <is>
          <t>10-03-2026</t>
        </is>
      </c>
      <c r="C10" s="4" t="inlineStr">
        <is>
          <t>09-04-2026</t>
        </is>
      </c>
      <c r="D10" s="3" t="inlineStr">
        <is>
          <t>Julia Mulder</t>
        </is>
      </c>
      <c r="E10" s="3" t="inlineStr">
        <is>
          <t>Spoorlaan 14</t>
        </is>
      </c>
      <c r="F10" s="3" t="inlineStr">
        <is>
          <t>Tilburg</t>
        </is>
      </c>
      <c r="G10" s="5" t="inlineStr">
        <is>
          <t>W07</t>
        </is>
      </c>
      <c r="H10" s="3">
        <f>IFERROR(VLOOKUP(G10,Calculatie!$A$4:$K$13,2,FALSE),"")</f>
        <v/>
      </c>
      <c r="I10" s="6" t="inlineStr">
        <is>
          <t>Plaatsen houten schutting achtertuin</t>
        </is>
      </c>
      <c r="J10" s="6" t="n">
        <v>25</v>
      </c>
      <c r="K10" s="5" t="inlineStr">
        <is>
          <t>m1</t>
        </is>
      </c>
      <c r="L10" s="7">
        <f>IFERROR(VLOOKUP(G10,Calculatie!$A$4:$K$13,8,FALSE),0)</f>
        <v/>
      </c>
      <c r="M10" s="7">
        <f>J10*L10</f>
        <v/>
      </c>
      <c r="N10" s="8">
        <f>IFERROR(VLOOKUP(G10,Calculatie!$A$4:$K$13,9,FALSE),0.21)</f>
        <v/>
      </c>
      <c r="O10" s="7">
        <f>M10*N10</f>
        <v/>
      </c>
      <c r="P10" s="7">
        <f>M10+O10</f>
        <v/>
      </c>
      <c r="Q10" s="5" t="inlineStr">
        <is>
          <t>Open</t>
        </is>
      </c>
      <c r="R10" s="3">
        <f>IF(P10&gt;5000,"Grote offerte","Standaard offerte")</f>
        <v/>
      </c>
    </row>
    <row r="11">
      <c r="A11" s="9" t="inlineStr">
        <is>
          <t>OFF-2026-008</t>
        </is>
      </c>
      <c r="B11" s="10" t="inlineStr">
        <is>
          <t>22-04-2026</t>
        </is>
      </c>
      <c r="C11" s="10" t="inlineStr">
        <is>
          <t>22-05-2026</t>
        </is>
      </c>
      <c r="D11" s="9" t="inlineStr">
        <is>
          <t>Thijs de Groot</t>
        </is>
      </c>
      <c r="E11" s="9" t="inlineStr">
        <is>
          <t>Van Welderenstraat 9</t>
        </is>
      </c>
      <c r="F11" s="9" t="inlineStr">
        <is>
          <t>Nijmegen</t>
        </is>
      </c>
      <c r="G11" s="5" t="inlineStr">
        <is>
          <t>W08</t>
        </is>
      </c>
      <c r="H11" s="9">
        <f>IFERROR(VLOOKUP(G11,Calculatie!$A$4:$K$13,2,FALSE),"")</f>
        <v/>
      </c>
      <c r="I11" s="6" t="inlineStr">
        <is>
          <t>Beplanten van borders met vaste planten</t>
        </is>
      </c>
      <c r="J11" s="6" t="n">
        <v>30</v>
      </c>
      <c r="K11" s="5" t="inlineStr">
        <is>
          <t>m2</t>
        </is>
      </c>
      <c r="L11" s="11">
        <f>IFERROR(VLOOKUP(G11,Calculatie!$A$4:$K$13,8,FALSE),0)</f>
        <v/>
      </c>
      <c r="M11" s="11">
        <f>J11*L11</f>
        <v/>
      </c>
      <c r="N11" s="12">
        <f>IFERROR(VLOOKUP(G11,Calculatie!$A$4:$K$13,9,FALSE),0.21)</f>
        <v/>
      </c>
      <c r="O11" s="11">
        <f>M11*N11</f>
        <v/>
      </c>
      <c r="P11" s="11">
        <f>M11+O11</f>
        <v/>
      </c>
      <c r="Q11" s="5" t="inlineStr">
        <is>
          <t>In behandeling</t>
        </is>
      </c>
      <c r="R11" s="9">
        <f>IF(P11&gt;5000,"Grote offerte","Standaard offerte")</f>
        <v/>
      </c>
    </row>
    <row r="12">
      <c r="A12" s="3" t="inlineStr">
        <is>
          <t>OFF-2026-009</t>
        </is>
      </c>
      <c r="B12" s="4" t="inlineStr">
        <is>
          <t>05-05-2026</t>
        </is>
      </c>
      <c r="C12" s="4" t="inlineStr">
        <is>
          <t>04-06-2026</t>
        </is>
      </c>
      <c r="D12" s="3" t="inlineStr">
        <is>
          <t>Lieke Hendriks</t>
        </is>
      </c>
      <c r="E12" s="3" t="inlineStr">
        <is>
          <t>Ginnekenweg 55</t>
        </is>
      </c>
      <c r="F12" s="3" t="inlineStr">
        <is>
          <t>Breda</t>
        </is>
      </c>
      <c r="G12" s="5" t="inlineStr">
        <is>
          <t>W09</t>
        </is>
      </c>
      <c r="H12" s="3">
        <f>IFERROR(VLOOKUP(G12,Calculatie!$A$4:$K$13,2,FALSE),"")</f>
        <v/>
      </c>
      <c r="I12" s="6" t="inlineStr">
        <is>
          <t>Aanleg sierbestrating oprit</t>
        </is>
      </c>
      <c r="J12" s="6" t="n">
        <v>20</v>
      </c>
      <c r="K12" s="5" t="inlineStr">
        <is>
          <t>m2</t>
        </is>
      </c>
      <c r="L12" s="7">
        <f>IFERROR(VLOOKUP(G12,Calculatie!$A$4:$K$13,8,FALSE),0)</f>
        <v/>
      </c>
      <c r="M12" s="7">
        <f>J12*L12</f>
        <v/>
      </c>
      <c r="N12" s="8">
        <f>IFERROR(VLOOKUP(G12,Calculatie!$A$4:$K$13,9,FALSE),0.21)</f>
        <v/>
      </c>
      <c r="O12" s="7">
        <f>M12*N12</f>
        <v/>
      </c>
      <c r="P12" s="7">
        <f>M12+O12</f>
        <v/>
      </c>
      <c r="Q12" s="5" t="inlineStr">
        <is>
          <t>Geaccepteerd</t>
        </is>
      </c>
      <c r="R12" s="3">
        <f>IF(P12&gt;5000,"Grote offerte","Standaard offerte")</f>
        <v/>
      </c>
    </row>
    <row r="13"/>
    <row r="14"/>
    <row r="15">
      <c r="K15" s="13" t="inlineStr">
        <is>
          <t>Subtotaal excl. btw</t>
        </is>
      </c>
      <c r="N15" s="14">
        <f>SUM(M4:M12)</f>
        <v/>
      </c>
    </row>
    <row r="16">
      <c r="K16" s="13" t="inlineStr">
        <is>
          <t>Totaal btw</t>
        </is>
      </c>
      <c r="N16" s="14">
        <f>SUM(O4:O12)</f>
        <v/>
      </c>
    </row>
    <row r="17">
      <c r="K17" s="13" t="inlineStr">
        <is>
          <t>Totaal incl. btw</t>
        </is>
      </c>
      <c r="N17" s="14">
        <f>SUM(P4:P12)</f>
        <v/>
      </c>
    </row>
    <row r="18">
      <c r="K18" s="13" t="inlineStr">
        <is>
          <t>Gemiddelde regeltotaal</t>
        </is>
      </c>
      <c r="N18" s="14">
        <f>AVERAGE(M4:M12)</f>
        <v/>
      </c>
    </row>
    <row r="19">
      <c r="K19" s="13" t="inlineStr">
        <is>
          <t>Aantal geaccepteerde offertes</t>
        </is>
      </c>
      <c r="N19" s="15">
        <f>COUNTIF(Q4:Q12,"Geaccepteerd")</f>
        <v/>
      </c>
    </row>
    <row r="20">
      <c r="K20" s="13" t="inlineStr">
        <is>
          <t>Aantal open offertes</t>
        </is>
      </c>
      <c r="N20" s="15">
        <f>COUNTIF(Q4:Q12,"Open")</f>
        <v/>
      </c>
    </row>
    <row r="21">
      <c r="K21" s="13" t="inlineStr">
        <is>
          <t>Conversiepercentage</t>
        </is>
      </c>
      <c r="N21" s="16">
        <f>IFERROR(N19/COUNTA(A4:A12),0)</f>
        <v/>
      </c>
    </row>
  </sheetData>
  <mergeCells count="1">
    <mergeCell ref="A1:R1"/>
  </mergeCells>
  <conditionalFormatting sqref="Q4:Q12">
    <cfRule type="expression" priority="1" dxfId="0" stopIfTrue="1">
      <formula>Q4="Geaccepteerd"</formula>
    </cfRule>
    <cfRule type="expression" priority="2" dxfId="1" stopIfTrue="1">
      <formula>Q4="Geweigerd"</formula>
    </cfRule>
    <cfRule type="expression" priority="3" dxfId="2" stopIfTrue="1">
      <formula>Q4="Open"</formula>
    </cfRule>
    <cfRule type="expression" priority="4" dxfId="3" stopIfTrue="1">
      <formula>Q4="In behandeling"</formula>
    </cfRule>
  </conditionalFormatting>
  <dataValidations count="1">
    <dataValidation sqref="Q4:Q100" showErrorMessage="1" showInputMessage="1" allowBlank="1" type="list">
      <formula1>"Open,In behandeling,Geaccepteerd,Geweigerd"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4" customWidth="1" min="3" max="3"/>
    <col width="12" customWidth="1" min="4" max="4"/>
    <col width="15" customWidth="1" min="5" max="5"/>
    <col width="13" customWidth="1" min="6" max="6"/>
    <col width="10" customWidth="1" min="7" max="7"/>
    <col width="14" customWidth="1" min="8" max="8"/>
    <col width="13" customWidth="1" min="9" max="9"/>
    <col width="32" customWidth="1" min="10" max="10"/>
    <col width="18" customWidth="1" min="11" max="11"/>
  </cols>
  <sheetData>
    <row r="1">
      <c r="A1" s="17" t="inlineStr">
        <is>
          <t>Calculatie - Standaard prijslijst hovenierswerk</t>
        </is>
      </c>
    </row>
    <row r="2"/>
    <row r="3">
      <c r="A3" s="2" t="inlineStr">
        <is>
          <t>Werkcode</t>
        </is>
      </c>
      <c r="B3" s="2" t="inlineStr">
        <is>
          <t>Werkzaamheden</t>
        </is>
      </c>
      <c r="C3" s="2" t="inlineStr">
        <is>
          <t>Categorie</t>
        </is>
      </c>
      <c r="D3" s="2" t="inlineStr">
        <is>
          <t>Eenheid</t>
        </is>
      </c>
      <c r="E3" s="2" t="inlineStr">
        <is>
          <t>Standaardtarief</t>
        </is>
      </c>
      <c r="F3" s="2" t="inlineStr">
        <is>
          <t>Inkoopkosten</t>
        </is>
      </c>
      <c r="G3" s="2" t="inlineStr">
        <is>
          <t>Marge %</t>
        </is>
      </c>
      <c r="H3" s="2" t="inlineStr">
        <is>
          <t>Verkoopprijs</t>
        </is>
      </c>
      <c r="I3" s="2" t="inlineStr">
        <is>
          <t>Btw-percentage</t>
        </is>
      </c>
      <c r="J3" s="2" t="inlineStr">
        <is>
          <t>Opmerking</t>
        </is>
      </c>
      <c r="K3" s="2" t="inlineStr">
        <is>
          <t>Verkoopprijs incl. btw</t>
        </is>
      </c>
    </row>
    <row r="4">
      <c r="A4" s="3" t="inlineStr">
        <is>
          <t>W01</t>
        </is>
      </c>
      <c r="B4" s="3" t="inlineStr">
        <is>
          <t>Tuinontwerp</t>
        </is>
      </c>
      <c r="C4" s="3" t="inlineStr">
        <is>
          <t>Ontwerp</t>
        </is>
      </c>
      <c r="D4" s="18" t="inlineStr">
        <is>
          <t>per ontwerp</t>
        </is>
      </c>
      <c r="E4" s="19" t="n">
        <v>500</v>
      </c>
      <c r="F4" s="19" t="n">
        <v>200</v>
      </c>
      <c r="G4" s="20" t="n">
        <v>1.5</v>
      </c>
      <c r="H4" s="21">
        <f>F4*(1+G4)</f>
        <v/>
      </c>
      <c r="I4" s="8">
        <f>IF(C4="Planten",0.09,0.21)</f>
        <v/>
      </c>
      <c r="J4" s="3" t="inlineStr">
        <is>
          <t>Inclusief 2 revisierondes</t>
        </is>
      </c>
      <c r="K4" s="21">
        <f>H4*(1+I4)</f>
        <v/>
      </c>
    </row>
    <row r="5">
      <c r="A5" s="9" t="inlineStr">
        <is>
          <t>W02</t>
        </is>
      </c>
      <c r="B5" s="9" t="inlineStr">
        <is>
          <t>Tuinaanleg</t>
        </is>
      </c>
      <c r="C5" s="9" t="inlineStr">
        <is>
          <t>Aanleg</t>
        </is>
      </c>
      <c r="D5" s="22" t="inlineStr">
        <is>
          <t>m2</t>
        </is>
      </c>
      <c r="E5" s="19" t="n">
        <v>75</v>
      </c>
      <c r="F5" s="19" t="n">
        <v>45</v>
      </c>
      <c r="G5" s="20" t="n">
        <v>0.6</v>
      </c>
      <c r="H5" s="23">
        <f>F5*(1+G5)</f>
        <v/>
      </c>
      <c r="I5" s="12">
        <f>IF(C5="Planten",0.09,0.21)</f>
        <v/>
      </c>
      <c r="J5" s="9" t="inlineStr">
        <is>
          <t>Grondwerk en beplanting</t>
        </is>
      </c>
      <c r="K5" s="23">
        <f>H5*(1+I5)</f>
        <v/>
      </c>
    </row>
    <row r="6">
      <c r="A6" s="3" t="inlineStr">
        <is>
          <t>W03</t>
        </is>
      </c>
      <c r="B6" s="3" t="inlineStr">
        <is>
          <t>Bestrating</t>
        </is>
      </c>
      <c r="C6" s="3" t="inlineStr">
        <is>
          <t>Bestrating</t>
        </is>
      </c>
      <c r="D6" s="18" t="inlineStr">
        <is>
          <t>m2</t>
        </is>
      </c>
      <c r="E6" s="19" t="n">
        <v>80</v>
      </c>
      <c r="F6" s="19" t="n">
        <v>55</v>
      </c>
      <c r="G6" s="20" t="n">
        <v>0.45</v>
      </c>
      <c r="H6" s="21">
        <f>F6*(1+G6)</f>
        <v/>
      </c>
      <c r="I6" s="8">
        <f>IF(C6="Planten",0.09,0.21)</f>
        <v/>
      </c>
      <c r="J6" s="3" t="inlineStr">
        <is>
          <t>Gebakken klinkers</t>
        </is>
      </c>
      <c r="K6" s="21">
        <f>H6*(1+I6)</f>
        <v/>
      </c>
    </row>
    <row r="7">
      <c r="A7" s="9" t="inlineStr">
        <is>
          <t>W04</t>
        </is>
      </c>
      <c r="B7" s="9" t="inlineStr">
        <is>
          <t>Hagen snoeien</t>
        </is>
      </c>
      <c r="C7" s="9" t="inlineStr">
        <is>
          <t>Onderhoud</t>
        </is>
      </c>
      <c r="D7" s="22" t="inlineStr">
        <is>
          <t>uur</t>
        </is>
      </c>
      <c r="E7" s="19" t="n">
        <v>42</v>
      </c>
      <c r="F7" s="19" t="n">
        <v>28</v>
      </c>
      <c r="G7" s="20" t="n">
        <v>0.5</v>
      </c>
      <c r="H7" s="23">
        <f>F7*(1+G7)</f>
        <v/>
      </c>
      <c r="I7" s="12">
        <f>IF(C7="Planten",0.09,0.21)</f>
        <v/>
      </c>
      <c r="J7" s="9" t="inlineStr">
        <is>
          <t>Inclusief afvoer snoeiafval</t>
        </is>
      </c>
      <c r="K7" s="23">
        <f>H7*(1+I7)</f>
        <v/>
      </c>
    </row>
    <row r="8">
      <c r="A8" s="3" t="inlineStr">
        <is>
          <t>W05</t>
        </is>
      </c>
      <c r="B8" s="3" t="inlineStr">
        <is>
          <t>Gazon aanleggen</t>
        </is>
      </c>
      <c r="C8" s="3" t="inlineStr">
        <is>
          <t>Aanleg</t>
        </is>
      </c>
      <c r="D8" s="18" t="inlineStr">
        <is>
          <t>m2</t>
        </is>
      </c>
      <c r="E8" s="19" t="n">
        <v>19</v>
      </c>
      <c r="F8" s="19" t="n">
        <v>12</v>
      </c>
      <c r="G8" s="20" t="n">
        <v>0.55</v>
      </c>
      <c r="H8" s="21">
        <f>F8*(1+G8)</f>
        <v/>
      </c>
      <c r="I8" s="8">
        <f>IF(C8="Planten",0.09,0.21)</f>
        <v/>
      </c>
      <c r="J8" s="3" t="inlineStr">
        <is>
          <t>Rolgazon inclusief egaliseren</t>
        </is>
      </c>
      <c r="K8" s="21">
        <f>H8*(1+I8)</f>
        <v/>
      </c>
    </row>
    <row r="9">
      <c r="A9" s="9" t="inlineStr">
        <is>
          <t>W06</t>
        </is>
      </c>
      <c r="B9" s="9" t="inlineStr">
        <is>
          <t>Onderhoudscontract</t>
        </is>
      </c>
      <c r="C9" s="9" t="inlineStr">
        <is>
          <t>Onderhoud</t>
        </is>
      </c>
      <c r="D9" s="22" t="inlineStr">
        <is>
          <t>maand</t>
        </is>
      </c>
      <c r="E9" s="19" t="n">
        <v>200</v>
      </c>
      <c r="F9" s="19" t="n">
        <v>150</v>
      </c>
      <c r="G9" s="20" t="n">
        <v>0.35</v>
      </c>
      <c r="H9" s="23">
        <f>F9*(1+G9)</f>
        <v/>
      </c>
      <c r="I9" s="12">
        <f>IF(C9="Planten",0.09,0.21)</f>
        <v/>
      </c>
      <c r="J9" s="9" t="inlineStr">
        <is>
          <t>Jaarcontract 12 maanden</t>
        </is>
      </c>
      <c r="K9" s="23">
        <f>H9*(1+I9)</f>
        <v/>
      </c>
    </row>
    <row r="10">
      <c r="A10" s="3" t="inlineStr">
        <is>
          <t>W07</t>
        </is>
      </c>
      <c r="B10" s="3" t="inlineStr">
        <is>
          <t>Plaatsen schutting</t>
        </is>
      </c>
      <c r="C10" s="3" t="inlineStr">
        <is>
          <t>Aanleg</t>
        </is>
      </c>
      <c r="D10" s="18" t="inlineStr">
        <is>
          <t>m1</t>
        </is>
      </c>
      <c r="E10" s="19" t="n">
        <v>85</v>
      </c>
      <c r="F10" s="19" t="n">
        <v>60</v>
      </c>
      <c r="G10" s="20" t="n">
        <v>0.4</v>
      </c>
      <c r="H10" s="21">
        <f>F10*(1+G10)</f>
        <v/>
      </c>
      <c r="I10" s="8">
        <f>IF(C10="Planten",0.09,0.21)</f>
        <v/>
      </c>
      <c r="J10" s="3" t="inlineStr">
        <is>
          <t>Hardhouten schutting</t>
        </is>
      </c>
      <c r="K10" s="21">
        <f>H10*(1+I10)</f>
        <v/>
      </c>
    </row>
    <row r="11">
      <c r="A11" s="9" t="inlineStr">
        <is>
          <t>W08</t>
        </is>
      </c>
      <c r="B11" s="9" t="inlineStr">
        <is>
          <t>Planten van borders</t>
        </is>
      </c>
      <c r="C11" s="9" t="inlineStr">
        <is>
          <t>Planten</t>
        </is>
      </c>
      <c r="D11" s="22" t="inlineStr">
        <is>
          <t>m2</t>
        </is>
      </c>
      <c r="E11" s="19" t="n">
        <v>24</v>
      </c>
      <c r="F11" s="19" t="n">
        <v>15</v>
      </c>
      <c r="G11" s="20" t="n">
        <v>0.6</v>
      </c>
      <c r="H11" s="23">
        <f>F11*(1+G11)</f>
        <v/>
      </c>
      <c r="I11" s="12">
        <f>IF(C11="Planten",0.09,0.21)</f>
        <v/>
      </c>
      <c r="J11" s="9" t="inlineStr">
        <is>
          <t>Vaste planten en bodembedekkers</t>
        </is>
      </c>
      <c r="K11" s="23">
        <f>H11*(1+I11)</f>
        <v/>
      </c>
    </row>
    <row r="12">
      <c r="A12" s="3" t="inlineStr">
        <is>
          <t>W09</t>
        </is>
      </c>
      <c r="B12" s="3" t="inlineStr">
        <is>
          <t>Sierbestrating</t>
        </is>
      </c>
      <c r="C12" s="3" t="inlineStr">
        <is>
          <t>Bestrating</t>
        </is>
      </c>
      <c r="D12" s="18" t="inlineStr">
        <is>
          <t>m2</t>
        </is>
      </c>
      <c r="E12" s="19" t="n">
        <v>95</v>
      </c>
      <c r="F12" s="19" t="n">
        <v>65</v>
      </c>
      <c r="G12" s="20" t="n">
        <v>0.45</v>
      </c>
      <c r="H12" s="21">
        <f>F12*(1+G12)</f>
        <v/>
      </c>
      <c r="I12" s="8">
        <f>IF(C12="Planten",0.09,0.21)</f>
        <v/>
      </c>
      <c r="J12" s="3" t="inlineStr">
        <is>
          <t>Decoratieve natuursteen</t>
        </is>
      </c>
      <c r="K12" s="21">
        <f>H12*(1+I12)</f>
        <v/>
      </c>
    </row>
    <row r="13">
      <c r="A13" s="9" t="inlineStr">
        <is>
          <t>W10</t>
        </is>
      </c>
      <c r="B13" s="9" t="inlineStr">
        <is>
          <t>Snoeiwerk bomen</t>
        </is>
      </c>
      <c r="C13" s="9" t="inlineStr">
        <is>
          <t>Onderhoud</t>
        </is>
      </c>
      <c r="D13" s="22" t="inlineStr">
        <is>
          <t>uur</t>
        </is>
      </c>
      <c r="E13" s="19" t="n">
        <v>54</v>
      </c>
      <c r="F13" s="19" t="n">
        <v>35</v>
      </c>
      <c r="G13" s="20" t="n">
        <v>0.55</v>
      </c>
      <c r="H13" s="23">
        <f>F13*(1+G13)</f>
        <v/>
      </c>
      <c r="I13" s="12">
        <f>IF(C13="Planten",0.09,0.21)</f>
        <v/>
      </c>
      <c r="J13" s="9" t="inlineStr">
        <is>
          <t>Inclusief hoogwerker indien nodig</t>
        </is>
      </c>
      <c r="K13" s="23">
        <f>H13*(1+I13)</f>
        <v/>
      </c>
    </row>
  </sheetData>
  <mergeCells count="1"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</cols>
  <sheetData>
    <row r="1">
      <c r="A1" s="17" t="inlineStr">
        <is>
          <t>Dashboard - Managementoverzicht offertes</t>
        </is>
      </c>
    </row>
    <row r="2"/>
    <row r="3">
      <c r="A3" s="24" t="inlineStr">
        <is>
          <t>Kernindicatoren</t>
        </is>
      </c>
    </row>
    <row r="4">
      <c r="A4" s="25" t="inlineStr">
        <is>
          <t>Totaal aantal offertes</t>
        </is>
      </c>
      <c r="B4" s="26">
        <f>COUNTA(Offerte!A4:A12)</f>
        <v/>
      </c>
    </row>
    <row r="5">
      <c r="A5" s="27" t="inlineStr">
        <is>
          <t>Open offertes</t>
        </is>
      </c>
      <c r="B5" s="28">
        <f>COUNTIF(Offerte!Q4:Q12,"Open")</f>
        <v/>
      </c>
    </row>
    <row r="6">
      <c r="A6" s="25" t="inlineStr">
        <is>
          <t>In behandeling</t>
        </is>
      </c>
      <c r="B6" s="26">
        <f>COUNTIF(Offerte!Q4:Q12,"In behandeling")</f>
        <v/>
      </c>
    </row>
    <row r="7">
      <c r="A7" s="27" t="inlineStr">
        <is>
          <t>Geaccepteerde offertes</t>
        </is>
      </c>
      <c r="B7" s="28">
        <f>COUNTIF(Offerte!Q4:Q12,"Geaccepteerd")</f>
        <v/>
      </c>
    </row>
    <row r="8">
      <c r="A8" s="25" t="inlineStr">
        <is>
          <t>Geweigerde offertes</t>
        </is>
      </c>
      <c r="B8" s="26">
        <f>COUNTIF(Offerte!Q4:Q12,"Geweigerd")</f>
        <v/>
      </c>
    </row>
    <row r="9">
      <c r="A9" s="27" t="inlineStr">
        <is>
          <t>Totale omzet excl. btw</t>
        </is>
      </c>
      <c r="B9" s="23">
        <f>SUM(Offerte!M4:M12)</f>
        <v/>
      </c>
    </row>
    <row r="10">
      <c r="A10" s="25" t="inlineStr">
        <is>
          <t>Totale omzet incl. btw</t>
        </is>
      </c>
      <c r="B10" s="21">
        <f>SUM(Offerte!P4:P12)</f>
        <v/>
      </c>
    </row>
    <row r="11">
      <c r="A11" s="27" t="inlineStr">
        <is>
          <t>Gemiddelde offertewaarde</t>
        </is>
      </c>
      <c r="B11" s="23">
        <f>AVERAGE(Offerte!P4:P12)</f>
        <v/>
      </c>
    </row>
    <row r="12">
      <c r="A12" s="25" t="inlineStr">
        <is>
          <t>Hoogste offertewaarde</t>
        </is>
      </c>
      <c r="B12" s="21">
        <f>MAX(Offerte!P4:P12)</f>
        <v/>
      </c>
    </row>
    <row r="13">
      <c r="A13" s="27" t="inlineStr">
        <is>
          <t>Conversiepercentage</t>
        </is>
      </c>
      <c r="B13" s="29">
        <f>IFERROR(B7/B4,0)</f>
        <v/>
      </c>
    </row>
    <row r="14">
      <c r="A14" s="25" t="inlineStr">
        <is>
          <t>Beoordeling conversie</t>
        </is>
      </c>
      <c r="B14" s="30">
        <f>IF(B13&gt;=0.5,"Goed","Aandacht nodig")</f>
        <v/>
      </c>
    </row>
    <row r="15"/>
    <row r="16">
      <c r="A16" s="31" t="inlineStr">
        <is>
          <t>Werksoort</t>
        </is>
      </c>
      <c r="B16" s="31" t="inlineStr">
        <is>
          <t>Omzet excl. btw</t>
        </is>
      </c>
    </row>
    <row r="17">
      <c r="A17" s="32">
        <f>Calculatie!B4</f>
        <v/>
      </c>
      <c r="B17" s="21">
        <f>SUMIF(Offerte!$H$4:$H$12,A17,Offerte!$M$4:$M$12)</f>
        <v/>
      </c>
    </row>
    <row r="18">
      <c r="A18" s="33">
        <f>Calculatie!B5</f>
        <v/>
      </c>
      <c r="B18" s="23">
        <f>SUMIF(Offerte!$H$4:$H$12,A18,Offerte!$M$4:$M$12)</f>
        <v/>
      </c>
    </row>
    <row r="19">
      <c r="A19" s="32">
        <f>Calculatie!B6</f>
        <v/>
      </c>
      <c r="B19" s="21">
        <f>SUMIF(Offerte!$H$4:$H$12,A19,Offerte!$M$4:$M$12)</f>
        <v/>
      </c>
    </row>
    <row r="20">
      <c r="A20" s="33">
        <f>Calculatie!B7</f>
        <v/>
      </c>
      <c r="B20" s="23">
        <f>SUMIF(Offerte!$H$4:$H$12,A20,Offerte!$M$4:$M$12)</f>
        <v/>
      </c>
    </row>
    <row r="21">
      <c r="A21" s="32">
        <f>Calculatie!B8</f>
        <v/>
      </c>
      <c r="B21" s="21">
        <f>SUMIF(Offerte!$H$4:$H$12,A21,Offerte!$M$4:$M$12)</f>
        <v/>
      </c>
    </row>
    <row r="22">
      <c r="A22" s="33">
        <f>Calculatie!B9</f>
        <v/>
      </c>
      <c r="B22" s="23">
        <f>SUMIF(Offerte!$H$4:$H$12,A22,Offerte!$M$4:$M$12)</f>
        <v/>
      </c>
    </row>
    <row r="23">
      <c r="A23" s="32">
        <f>Calculatie!B10</f>
        <v/>
      </c>
      <c r="B23" s="21">
        <f>SUMIF(Offerte!$H$4:$H$12,A23,Offerte!$M$4:$M$12)</f>
        <v/>
      </c>
    </row>
    <row r="24">
      <c r="A24" s="33">
        <f>Calculatie!B11</f>
        <v/>
      </c>
      <c r="B24" s="23">
        <f>SUMIF(Offerte!$H$4:$H$12,A24,Offerte!$M$4:$M$12)</f>
        <v/>
      </c>
    </row>
    <row r="25">
      <c r="A25" s="32">
        <f>Calculatie!B12</f>
        <v/>
      </c>
      <c r="B25" s="21">
        <f>SUMIF(Offerte!$H$4:$H$12,A25,Offerte!$M$4:$M$12)</f>
        <v/>
      </c>
    </row>
    <row r="26">
      <c r="A26" s="33">
        <f>Calculatie!B13</f>
        <v/>
      </c>
      <c r="B26" s="23">
        <f>SUMIF(Offerte!$H$4:$H$12,A26,Offerte!$M$4:$M$12)</f>
        <v/>
      </c>
    </row>
  </sheetData>
  <mergeCells count="2">
    <mergeCell ref="A1:H1"/>
    <mergeCell ref="A3:B3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17" t="inlineStr">
        <is>
          <t>Instructies - Offerte Hovenier Sjabloon</t>
        </is>
      </c>
    </row>
    <row r="2"/>
    <row r="3">
      <c r="A3" s="2" t="inlineStr">
        <is>
          <t>Onderwerp</t>
        </is>
      </c>
      <c r="B3" s="2" t="inlineStr">
        <is>
          <t>Toelichting</t>
        </is>
      </c>
    </row>
    <row r="4" ht="32" customHeight="1">
      <c r="A4" s="34" t="inlineStr">
        <is>
          <t>Sheet Offerte</t>
        </is>
      </c>
      <c r="B4" s="3" t="inlineStr">
        <is>
          <t>Vul per offerteregel Offerte-ID, datum, klantgegevens, projectadres en werkcode in. De kolommen Werksoort, Tarief per eenheid en Btw-percentage worden automatisch opgehaald uit de sheet Calculatie via VLOOKUP.</t>
        </is>
      </c>
    </row>
    <row r="5" ht="32" customHeight="1">
      <c r="A5" s="35" t="inlineStr">
        <is>
          <t>Werkcode invullen</t>
        </is>
      </c>
      <c r="B5" s="9" t="inlineStr">
        <is>
          <t>Kies een geldige werkcode (bijvoorbeeld W01 t/m W10) zoals vermeld in de sheet Calculatie. Zonder geldige werkcode blijven de opgehaalde velden leeg (IFERROR).</t>
        </is>
      </c>
    </row>
    <row r="6" ht="32" customHeight="1">
      <c r="A6" s="34" t="inlineStr">
        <is>
          <t>Btw-tarieven</t>
        </is>
      </c>
      <c r="B6" s="3" t="inlineStr">
        <is>
          <t>Standaard geldt 21% btw. Voor plantmateriaal en groenproducten (categorie Planten) geldt het verlaagde tarief van 9%. Dit wordt automatisch bepaald op basis van de categorie in de sheet Calculatie.</t>
        </is>
      </c>
    </row>
    <row r="7" ht="32" customHeight="1">
      <c r="A7" s="35" t="inlineStr">
        <is>
          <t>Statusvelden</t>
        </is>
      </c>
      <c r="B7" s="9" t="inlineStr">
        <is>
          <t>Status kan zijn: Open, In behandeling, Geaccepteerd of Geweigerd. Kies de status via de vervolgkeuzelijst in kolom Status. De celkleur past zich automatisch aan de status aan.</t>
        </is>
      </c>
    </row>
    <row r="8" ht="32" customHeight="1">
      <c r="A8" s="34" t="inlineStr">
        <is>
          <t>Bedragen excl. en incl. btw</t>
        </is>
      </c>
      <c r="B8" s="3" t="inlineStr">
        <is>
          <t>Alle bedragen worden zowel exclusief als inclusief btw berekend. Het Regeltotaal excl. btw is Aantal maal Tarief per eenheid. Btw-bedrag en Regeltotaal incl. btw worden hieruit automatisch afgeleid.</t>
        </is>
      </c>
    </row>
    <row r="9" ht="32" customHeight="1">
      <c r="A9" s="35" t="inlineStr">
        <is>
          <t>Type offerte</t>
        </is>
      </c>
      <c r="B9" s="9" t="inlineStr">
        <is>
          <t>De kolom Type offerte toont automatisch 'Grote offerte' bij een regeltotaal incl. btw boven € 5.000,00, anders 'Standaard offerte'.</t>
        </is>
      </c>
    </row>
    <row r="10" ht="32" customHeight="1">
      <c r="A10" s="34" t="inlineStr">
        <is>
          <t>Sheet Calculatie</t>
        </is>
      </c>
      <c r="B10" s="3" t="inlineStr">
        <is>
          <t>Deze sheet bevat de standaard prijslijst. Verkoopprijs wordt berekend als Inkoopkosten maal (1 plus Marge%). Pas Inkoopkosten en Marge% aan om de verkoopprijs te wijzigen.</t>
        </is>
      </c>
    </row>
    <row r="11" ht="32" customHeight="1">
      <c r="A11" s="35" t="inlineStr">
        <is>
          <t>Gebruik van VLOOKUP</t>
        </is>
      </c>
      <c r="B11" s="9" t="inlineStr">
        <is>
          <t>In de sheet Offerte wordt VLOOKUP gebruikt om op basis van de werkcode automatisch de werksoort, het tarief en het btw-percentage uit de sheet Calculatie op te halen. Zorg dat werkcodes overeenkomen tussen beide sheets.</t>
        </is>
      </c>
    </row>
    <row r="12" ht="32" customHeight="1">
      <c r="A12" s="34" t="inlineStr">
        <is>
          <t>Sheet Dashboard</t>
        </is>
      </c>
      <c r="B12" s="3" t="inlineStr">
        <is>
          <t>Het dashboard toont automatisch berekende kerncijfers, een kolomdiagram met omzet per werksoort, een taartdiagram met de verdeling van offertes per status en een lijndiagram met de offertewaarde per datum.</t>
        </is>
      </c>
    </row>
    <row r="13" ht="32" customHeight="1">
      <c r="A13" s="35" t="inlineStr">
        <is>
          <t>Conversiepercentage</t>
        </is>
      </c>
      <c r="B13" s="9" t="inlineStr">
        <is>
          <t>Het conversiepercentage is het aantal geaccepteerde offertes gedeeld door het totaal aantal offertes. Vanaf 50% wordt dit beoordeeld als 'Goed', anders als 'Aandacht nodig'.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2026-07-02T22:34:33Z</dcterms:created>
  <dcterms:modified xmlns:dcterms="http://purl.org/dc/terms/" xmlns:xsi="http://www.w3.org/2001/XMLSchema-instance" xsi:type="dcterms:W3CDTF">2026-07-02T22:34:33Z</dcterms:modified>
</cp:coreProperties>
</file>