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leidingsbudge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es" sheetId="3" state="visible" r:id="rId3"/>
  </sheets>
  <definedNames>
    <definedName name="_xlnm._FilterDatabase" localSheetId="0" hidden="1">'Opleidingsbudget'!$A$3:$Z$12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-MM-JJJJ"/>
    <numFmt numFmtId="165" formatCode="&quot;€&quot; #.##0,00"/>
  </numFmts>
  <fonts count="4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DBEAF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0" fillId="6" borderId="1" pivotButton="0" quotePrefix="0" xfId="0"/>
    <xf numFmtId="165" fontId="2" fillId="6" borderId="1" pivotButton="0" quotePrefix="0" xfId="0"/>
    <xf numFmtId="9" fontId="2" fillId="6" borderId="1" pivotButton="0" quotePrefix="0" xfId="0"/>
    <xf numFmtId="0" fontId="0" fillId="0" borderId="1" pivotButton="0" quotePrefix="0" xfId="0"/>
    <xf numFmtId="0" fontId="1" fillId="0" borderId="0" pivotButton="0" quotePrefix="0" xfId="0"/>
    <xf numFmtId="0" fontId="2" fillId="6" borderId="0" pivotButton="0" quotePrefix="0" xfId="0"/>
    <xf numFmtId="0" fontId="2" fillId="2" borderId="1" pivotButton="0" quotePrefix="0" xfId="0"/>
    <xf numFmtId="0" fontId="0" fillId="3" borderId="1" pivotButton="0" quotePrefix="0" xfId="0"/>
    <xf numFmtId="165" fontId="0" fillId="3" borderId="1" pivotButton="0" quotePrefix="0" xfId="0"/>
    <xf numFmtId="165" fontId="0" fillId="0" borderId="1" pivotButton="0" quotePrefix="0" xfId="0"/>
    <xf numFmtId="0" fontId="0" fillId="5" borderId="1" pivotButton="0" quotePrefix="0" xfId="0"/>
    <xf numFmtId="165" fontId="0" fillId="5" borderId="1" pivotButton="0" quotePrefix="0" xfId="0"/>
    <xf numFmtId="9" fontId="0" fillId="5" borderId="1" pivotButton="0" quotePrefix="0" xfId="0"/>
    <xf numFmtId="1" fontId="0" fillId="3" borderId="1" pivotButton="0" quotePrefix="0" xfId="0"/>
    <xf numFmtId="1" fontId="0" fillId="5" borderId="1" pivotButton="0" quotePrefix="0" xfId="0"/>
    <xf numFmtId="9" fontId="0" fillId="3" borderId="1" pivotButton="0" quotePrefix="0" xfId="0"/>
    <xf numFmtId="0" fontId="0" fillId="4" borderId="1" pivotButton="0" quotePrefix="0" xfId="0"/>
    <xf numFmtId="9" fontId="0" fillId="0" borderId="1" pivotButton="0" quotePrefix="0" xfId="0"/>
    <xf numFmtId="164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kosten per afdeling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'Dashboard'!$D$4:$D$9</f>
            </numRef>
          </cat>
          <val>
            <numRef>
              <f>'Dashboard'!$E$4:$E$9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Afdeling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opleidingscategorieën</a:t>
            </a:r>
          </a:p>
        </rich>
      </tx>
    </title>
    <plotArea>
      <pieChart>
        <varyColors val="1"/>
        <ser>
          <idx val="0"/>
          <order val="0"/>
          <tx>
            <strRef>
              <f>'Dashboard'!H3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'Dashboard'!$G$4:$G$8</f>
            </numRef>
          </cat>
          <val>
            <numRef>
              <f>'Dashboard'!$H$4:$H$8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Uitgaven per maand (op basis van startdatum)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'Dashboard'!K3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'Dashboard'!$J$4:$J$15</f>
            </numRef>
          </cat>
          <val>
            <numRef>
              <f>'Dashboard'!$K$4:$K$15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Uitgaven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32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49</row>
      <rowOff>0</rowOff>
    </from>
    <ext cx="86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3" customWidth="1" min="4" max="4"/>
    <col width="18" customWidth="1" min="5" max="5"/>
    <col width="26" customWidth="1" min="6" max="6"/>
    <col width="13" customWidth="1" min="7" max="7"/>
    <col width="13" customWidth="1" min="8" max="8"/>
    <col width="13" customWidth="1" min="9" max="9"/>
    <col width="20" customWidth="1" min="10" max="10"/>
    <col width="16" customWidth="1" min="11" max="11"/>
    <col width="15" customWidth="1" min="12" max="12"/>
    <col width="15" customWidth="1" min="13" max="13"/>
    <col width="16" customWidth="1" min="14" max="14"/>
    <col width="16" customWidth="1" min="15" max="15"/>
    <col width="15" customWidth="1" min="16" max="16"/>
    <col width="14" customWidth="1" min="17" max="17"/>
    <col width="11" customWidth="1" min="18" max="18"/>
    <col width="16" customWidth="1" min="19" max="19"/>
    <col width="14" customWidth="1" min="20" max="20"/>
    <col width="11" customWidth="1" min="21" max="21"/>
    <col width="14" customWidth="1" min="22" max="22"/>
    <col width="18" customWidth="1" min="23" max="23"/>
    <col width="16" customWidth="1" min="24" max="24"/>
    <col width="14" customWidth="1" min="25" max="25"/>
    <col width="26" customWidth="1" min="26" max="26"/>
  </cols>
  <sheetData>
    <row r="1" ht="26" customHeight="1">
      <c r="A1" s="1" t="inlineStr">
        <is>
          <t>Opleidingsbudget Medewerkers 2026</t>
        </is>
      </c>
    </row>
    <row r="2"/>
    <row r="3">
      <c r="A3" s="2" t="inlineStr">
        <is>
          <t>Medewerker</t>
        </is>
      </c>
      <c r="B3" s="2" t="inlineStr">
        <is>
          <t>Afdeling</t>
        </is>
      </c>
      <c r="C3" s="2" t="inlineStr">
        <is>
          <t>Functie</t>
        </is>
      </c>
      <c r="D3" s="2" t="inlineStr">
        <is>
          <t>Vestiging</t>
        </is>
      </c>
      <c r="E3" s="2" t="inlineStr">
        <is>
          <t>Opleidingscategorie</t>
        </is>
      </c>
      <c r="F3" s="2" t="inlineStr">
        <is>
          <t>Opleidingsnaam</t>
        </is>
      </c>
      <c r="G3" s="2" t="inlineStr">
        <is>
          <t>Aanvraagdatum</t>
        </is>
      </c>
      <c r="H3" s="2" t="inlineStr">
        <is>
          <t>Startdatum</t>
        </is>
      </c>
      <c r="I3" s="2" t="inlineStr">
        <is>
          <t>Einddatum</t>
        </is>
      </c>
      <c r="J3" s="2" t="inlineStr">
        <is>
          <t>Aanbieder</t>
        </is>
      </c>
      <c r="K3" s="2" t="inlineStr">
        <is>
          <t>Type opleidingsbudget</t>
        </is>
      </c>
      <c r="L3" s="2" t="inlineStr">
        <is>
          <t>Begroot budget (€)</t>
        </is>
      </c>
      <c r="M3" s="2" t="inlineStr">
        <is>
          <t>Werkelijke kosten (€)</t>
        </is>
      </c>
      <c r="N3" s="2" t="inlineStr">
        <is>
          <t>Reis- en verblijfskosten (€)</t>
        </is>
      </c>
      <c r="O3" s="2" t="inlineStr">
        <is>
          <t>Subsidie/tegemoetkoming (€)</t>
        </is>
      </c>
      <c r="P3" s="2" t="inlineStr">
        <is>
          <t>Zelf te betalen (€)</t>
        </is>
      </c>
      <c r="Q3" s="2" t="inlineStr">
        <is>
          <t>Status</t>
        </is>
      </c>
      <c r="R3" s="2" t="inlineStr">
        <is>
          <t>Prioriteit</t>
        </is>
      </c>
      <c r="S3" s="2" t="inlineStr">
        <is>
          <t>Toestemming leidinggevende</t>
        </is>
      </c>
      <c r="T3" s="2" t="inlineStr">
        <is>
          <t>Factuur ontvangen</t>
        </is>
      </c>
      <c r="U3" s="2" t="inlineStr">
        <is>
          <t>BTW-tarief</t>
        </is>
      </c>
      <c r="V3" s="2" t="inlineStr">
        <is>
          <t>BTW-bedrag (€)</t>
        </is>
      </c>
      <c r="W3" s="2" t="inlineStr">
        <is>
          <t>Totale kosten incl. btw (€)</t>
        </is>
      </c>
      <c r="X3" s="2" t="inlineStr">
        <is>
          <t>Budgetverschil (€)</t>
        </is>
      </c>
      <c r="Y3" s="2" t="inlineStr">
        <is>
          <t>% Budget benut</t>
        </is>
      </c>
      <c r="Z3" s="2" t="inlineStr">
        <is>
          <t>Opmerking</t>
        </is>
      </c>
    </row>
    <row r="4">
      <c r="A4" s="3" t="inlineStr">
        <is>
          <t>Sanne</t>
        </is>
      </c>
      <c r="B4" s="4" t="inlineStr">
        <is>
          <t>HR</t>
        </is>
      </c>
      <c r="C4" s="3" t="inlineStr">
        <is>
          <t>HR Adviseur</t>
        </is>
      </c>
      <c r="D4" s="4" t="inlineStr">
        <is>
          <t>Amsterdam</t>
        </is>
      </c>
      <c r="E4" s="4" t="inlineStr">
        <is>
          <t>Soft Skills</t>
        </is>
      </c>
      <c r="F4" s="3" t="inlineStr">
        <is>
          <t>Excel Gevorderd</t>
        </is>
      </c>
      <c r="G4" s="34" t="n">
        <v>46027</v>
      </c>
      <c r="H4" s="34" t="n">
        <v>46032</v>
      </c>
      <c r="I4" s="34" t="n">
        <v>46032</v>
      </c>
      <c r="J4" s="3" t="inlineStr">
        <is>
          <t>Schouten &amp; Nelissen</t>
        </is>
      </c>
      <c r="K4" s="4" t="inlineStr">
        <is>
          <t>Individueel</t>
        </is>
      </c>
      <c r="L4" s="6" t="n">
        <v>500</v>
      </c>
      <c r="M4" s="6" t="n">
        <v>450</v>
      </c>
      <c r="N4" s="6" t="n">
        <v>50</v>
      </c>
      <c r="O4" s="6" t="n">
        <v>0</v>
      </c>
      <c r="P4" s="7">
        <f>MAX(0,M4+N4-O4)</f>
        <v/>
      </c>
      <c r="Q4" s="4" t="inlineStr">
        <is>
          <t>Afgerond</t>
        </is>
      </c>
      <c r="R4" s="4" t="inlineStr">
        <is>
          <t>Midden</t>
        </is>
      </c>
      <c r="S4" s="4" t="inlineStr">
        <is>
          <t>Ja</t>
        </is>
      </c>
      <c r="T4" s="4" t="inlineStr">
        <is>
          <t>Ja</t>
        </is>
      </c>
      <c r="U4" s="8" t="n">
        <v>0.21</v>
      </c>
      <c r="V4" s="7">
        <f>IF(U4=0.21,(M4+N4-O4)*0.21,IF(U4=0.09,(M4+N4-O4)*0.09,0))</f>
        <v/>
      </c>
      <c r="W4" s="7">
        <f>M4+N4+V4</f>
        <v/>
      </c>
      <c r="X4" s="7">
        <f>L4-W4</f>
        <v/>
      </c>
      <c r="Y4" s="9">
        <f>IFERROR(W4/L4,0)</f>
        <v/>
      </c>
      <c r="Z4" s="3" t="inlineStr">
        <is>
          <t>Certificering behaald</t>
        </is>
      </c>
    </row>
    <row r="5">
      <c r="A5" s="10" t="inlineStr">
        <is>
          <t>Daan</t>
        </is>
      </c>
      <c r="B5" s="11" t="inlineStr">
        <is>
          <t>IT</t>
        </is>
      </c>
      <c r="C5" s="10" t="inlineStr">
        <is>
          <t>Data Analist</t>
        </is>
      </c>
      <c r="D5" s="11" t="inlineStr">
        <is>
          <t>Utrecht</t>
        </is>
      </c>
      <c r="E5" s="11" t="inlineStr">
        <is>
          <t>Techniek</t>
        </is>
      </c>
      <c r="F5" s="10" t="inlineStr">
        <is>
          <t>Power BI Basis</t>
        </is>
      </c>
      <c r="G5" s="35" t="n">
        <v>46034</v>
      </c>
      <c r="H5" s="35" t="n">
        <v>46042</v>
      </c>
      <c r="I5" s="35" t="n">
        <v>46043</v>
      </c>
      <c r="J5" s="10" t="inlineStr">
        <is>
          <t>Learnit</t>
        </is>
      </c>
      <c r="K5" s="11" t="inlineStr">
        <is>
          <t>Teambudget</t>
        </is>
      </c>
      <c r="L5" s="6" t="n">
        <v>800</v>
      </c>
      <c r="M5" s="6" t="n">
        <v>750</v>
      </c>
      <c r="N5" s="6" t="n">
        <v>100</v>
      </c>
      <c r="O5" s="6" t="n">
        <v>100</v>
      </c>
      <c r="P5" s="13">
        <f>MAX(0,M5+N5-O5)</f>
        <v/>
      </c>
      <c r="Q5" s="11" t="inlineStr">
        <is>
          <t>Goedgekeurd</t>
        </is>
      </c>
      <c r="R5" s="11" t="inlineStr">
        <is>
          <t>Hoog</t>
        </is>
      </c>
      <c r="S5" s="11" t="inlineStr">
        <is>
          <t>Ja</t>
        </is>
      </c>
      <c r="T5" s="11" t="inlineStr">
        <is>
          <t>Nee</t>
        </is>
      </c>
      <c r="U5" s="8" t="n">
        <v>0.21</v>
      </c>
      <c r="V5" s="13">
        <f>IF(U5=0.21,(M5+N5-O5)*0.21,IF(U5=0.09,(M5+N5-O5)*0.09,0))</f>
        <v/>
      </c>
      <c r="W5" s="13">
        <f>M5+N5+V5</f>
        <v/>
      </c>
      <c r="X5" s="13">
        <f>L5-W5</f>
        <v/>
      </c>
      <c r="Y5" s="14">
        <f>IFERROR(W5/L5,0)</f>
        <v/>
      </c>
      <c r="Z5" s="10" t="inlineStr">
        <is>
          <t>Wachten op planning</t>
        </is>
      </c>
    </row>
    <row r="6">
      <c r="A6" s="3" t="inlineStr">
        <is>
          <t>Emma</t>
        </is>
      </c>
      <c r="B6" s="4" t="inlineStr">
        <is>
          <t>Sales</t>
        </is>
      </c>
      <c r="C6" s="3" t="inlineStr">
        <is>
          <t>Accountmanager</t>
        </is>
      </c>
      <c r="D6" s="4" t="inlineStr">
        <is>
          <t>Rotterdam</t>
        </is>
      </c>
      <c r="E6" s="4" t="inlineStr">
        <is>
          <t>Soft Skills</t>
        </is>
      </c>
      <c r="F6" s="3" t="inlineStr">
        <is>
          <t>Communicatieve Vaardigheden</t>
        </is>
      </c>
      <c r="G6" s="34" t="n">
        <v>46037</v>
      </c>
      <c r="H6" s="34" t="n">
        <v>46047</v>
      </c>
      <c r="I6" s="34" t="n">
        <v>46047</v>
      </c>
      <c r="J6" s="3" t="inlineStr">
        <is>
          <t>NCOI</t>
        </is>
      </c>
      <c r="K6" s="4" t="inlineStr">
        <is>
          <t>Individueel</t>
        </is>
      </c>
      <c r="L6" s="6" t="n">
        <v>600</v>
      </c>
      <c r="M6" s="6" t="n">
        <v>600</v>
      </c>
      <c r="N6" s="6" t="n">
        <v>0</v>
      </c>
      <c r="O6" s="6" t="n">
        <v>0</v>
      </c>
      <c r="P6" s="7">
        <f>MAX(0,M6+N6-O6)</f>
        <v/>
      </c>
      <c r="Q6" s="4" t="inlineStr">
        <is>
          <t>Afgerond</t>
        </is>
      </c>
      <c r="R6" s="4" t="inlineStr">
        <is>
          <t>Midden</t>
        </is>
      </c>
      <c r="S6" s="4" t="inlineStr">
        <is>
          <t>Ja</t>
        </is>
      </c>
      <c r="T6" s="4" t="inlineStr">
        <is>
          <t>Ja</t>
        </is>
      </c>
      <c r="U6" s="8" t="n">
        <v>0.21</v>
      </c>
      <c r="V6" s="7">
        <f>IF(U6=0.21,(M6+N6-O6)*0.21,IF(U6=0.09,(M6+N6-O6)*0.09,0))</f>
        <v/>
      </c>
      <c r="W6" s="7">
        <f>M6+N6+V6</f>
        <v/>
      </c>
      <c r="X6" s="7">
        <f>L6-W6</f>
        <v/>
      </c>
      <c r="Y6" s="9">
        <f>IFERROR(W6/L6,0)</f>
        <v/>
      </c>
      <c r="Z6" s="3" t="inlineStr">
        <is>
          <t>Positieve evaluatie</t>
        </is>
      </c>
    </row>
    <row r="7">
      <c r="A7" s="10" t="inlineStr">
        <is>
          <t>Lars</t>
        </is>
      </c>
      <c r="B7" s="11" t="inlineStr">
        <is>
          <t>Finance</t>
        </is>
      </c>
      <c r="C7" s="10" t="inlineStr">
        <is>
          <t>Financieel Analist</t>
        </is>
      </c>
      <c r="D7" s="11" t="inlineStr">
        <is>
          <t>Den Haag</t>
        </is>
      </c>
      <c r="E7" s="11" t="inlineStr">
        <is>
          <t>Vakinhoudelijk</t>
        </is>
      </c>
      <c r="F7" s="10" t="inlineStr">
        <is>
          <t>Financieel Rapporteren</t>
        </is>
      </c>
      <c r="G7" s="35" t="n">
        <v>46042</v>
      </c>
      <c r="H7" s="35" t="n">
        <v>46058</v>
      </c>
      <c r="I7" s="35" t="n">
        <v>46059</v>
      </c>
      <c r="J7" s="10" t="inlineStr">
        <is>
          <t>NBA</t>
        </is>
      </c>
      <c r="K7" s="11" t="inlineStr">
        <is>
          <t>Individueel</t>
        </is>
      </c>
      <c r="L7" s="6" t="n">
        <v>750</v>
      </c>
      <c r="M7" s="6" t="n">
        <v>0</v>
      </c>
      <c r="N7" s="6" t="n">
        <v>0</v>
      </c>
      <c r="O7" s="6" t="n">
        <v>0</v>
      </c>
      <c r="P7" s="13">
        <f>MAX(0,M7+N7-O7)</f>
        <v/>
      </c>
      <c r="Q7" s="11" t="inlineStr">
        <is>
          <t>Aangevraagd</t>
        </is>
      </c>
      <c r="R7" s="11" t="inlineStr">
        <is>
          <t>Laag</t>
        </is>
      </c>
      <c r="S7" s="11" t="inlineStr">
        <is>
          <t>Nee</t>
        </is>
      </c>
      <c r="T7" s="11" t="inlineStr">
        <is>
          <t>Nee</t>
        </is>
      </c>
      <c r="U7" s="8" t="n">
        <v>0</v>
      </c>
      <c r="V7" s="13">
        <f>IF(U7=0.21,(M7+N7-O7)*0.21,IF(U7=0.09,(M7+N7-O7)*0.09,0))</f>
        <v/>
      </c>
      <c r="W7" s="13">
        <f>M7+N7+V7</f>
        <v/>
      </c>
      <c r="X7" s="13">
        <f>L7-W7</f>
        <v/>
      </c>
      <c r="Y7" s="14">
        <f>IFERROR(W7/L7,0)</f>
        <v/>
      </c>
      <c r="Z7" s="10" t="inlineStr">
        <is>
          <t>Nog goed te keuren</t>
        </is>
      </c>
    </row>
    <row r="8">
      <c r="A8" s="3" t="inlineStr">
        <is>
          <t>Sophie</t>
        </is>
      </c>
      <c r="B8" s="4" t="inlineStr">
        <is>
          <t>Marketing</t>
        </is>
      </c>
      <c r="C8" s="3" t="inlineStr">
        <is>
          <t>Marketeer</t>
        </is>
      </c>
      <c r="D8" s="4" t="inlineStr">
        <is>
          <t>Haarlem</t>
        </is>
      </c>
      <c r="E8" s="4" t="inlineStr">
        <is>
          <t>Soft Skills</t>
        </is>
      </c>
      <c r="F8" s="3" t="inlineStr">
        <is>
          <t>Time management</t>
        </is>
      </c>
      <c r="G8" s="34" t="n">
        <v>46044</v>
      </c>
      <c r="H8" s="34" t="n">
        <v>46063</v>
      </c>
      <c r="I8" s="34" t="n">
        <v>46063</v>
      </c>
      <c r="J8" s="3" t="inlineStr">
        <is>
          <t>Schouten &amp; Nelissen</t>
        </is>
      </c>
      <c r="K8" s="4" t="inlineStr">
        <is>
          <t>Teambudget</t>
        </is>
      </c>
      <c r="L8" s="6" t="n">
        <v>400</v>
      </c>
      <c r="M8" s="6" t="n">
        <v>380</v>
      </c>
      <c r="N8" s="6" t="n">
        <v>20</v>
      </c>
      <c r="O8" s="6" t="n">
        <v>0</v>
      </c>
      <c r="P8" s="7">
        <f>MAX(0,M8+N8-O8)</f>
        <v/>
      </c>
      <c r="Q8" s="4" t="inlineStr">
        <is>
          <t>Goedgekeurd</t>
        </is>
      </c>
      <c r="R8" s="4" t="inlineStr">
        <is>
          <t>Midden</t>
        </is>
      </c>
      <c r="S8" s="4" t="inlineStr">
        <is>
          <t>Ja</t>
        </is>
      </c>
      <c r="T8" s="4" t="inlineStr">
        <is>
          <t>Nee</t>
        </is>
      </c>
      <c r="U8" s="8" t="n">
        <v>0.21</v>
      </c>
      <c r="V8" s="7">
        <f>IF(U8=0.21,(M8+N8-O8)*0.21,IF(U8=0.09,(M8+N8-O8)*0.09,0))</f>
        <v/>
      </c>
      <c r="W8" s="7">
        <f>M8+N8+V8</f>
        <v/>
      </c>
      <c r="X8" s="7">
        <f>L8-W8</f>
        <v/>
      </c>
      <c r="Y8" s="9">
        <f>IFERROR(W8/L8,0)</f>
        <v/>
      </c>
      <c r="Z8" s="3" t="inlineStr">
        <is>
          <t>Team-inschrijving</t>
        </is>
      </c>
    </row>
    <row r="9">
      <c r="A9" s="10" t="inlineStr">
        <is>
          <t>Bram</t>
        </is>
      </c>
      <c r="B9" s="11" t="inlineStr">
        <is>
          <t>Operations</t>
        </is>
      </c>
      <c r="C9" s="10" t="inlineStr">
        <is>
          <t>Operations Manager</t>
        </is>
      </c>
      <c r="D9" s="11" t="inlineStr">
        <is>
          <t>Eindhoven</t>
        </is>
      </c>
      <c r="E9" s="11" t="inlineStr">
        <is>
          <t>Management</t>
        </is>
      </c>
      <c r="F9" s="10" t="inlineStr">
        <is>
          <t>Projectmanagement</t>
        </is>
      </c>
      <c r="G9" s="35" t="n">
        <v>46047</v>
      </c>
      <c r="H9" s="35" t="n">
        <v>46068</v>
      </c>
      <c r="I9" s="35" t="n">
        <v>46070</v>
      </c>
      <c r="J9" s="10" t="inlineStr">
        <is>
          <t>Prince2.nl</t>
        </is>
      </c>
      <c r="K9" s="11" t="inlineStr">
        <is>
          <t>Individueel</t>
        </is>
      </c>
      <c r="L9" s="6" t="n">
        <v>1200</v>
      </c>
      <c r="M9" s="6" t="n">
        <v>1150</v>
      </c>
      <c r="N9" s="6" t="n">
        <v>150</v>
      </c>
      <c r="O9" s="6" t="n">
        <v>200</v>
      </c>
      <c r="P9" s="13">
        <f>MAX(0,M9+N9-O9)</f>
        <v/>
      </c>
      <c r="Q9" s="11" t="inlineStr">
        <is>
          <t>Afgerond</t>
        </is>
      </c>
      <c r="R9" s="11" t="inlineStr">
        <is>
          <t>Hoog</t>
        </is>
      </c>
      <c r="S9" s="11" t="inlineStr">
        <is>
          <t>Ja</t>
        </is>
      </c>
      <c r="T9" s="11" t="inlineStr">
        <is>
          <t>Ja</t>
        </is>
      </c>
      <c r="U9" s="8" t="n">
        <v>0.21</v>
      </c>
      <c r="V9" s="13">
        <f>IF(U9=0.21,(M9+N9-O9)*0.21,IF(U9=0.09,(M9+N9-O9)*0.09,0))</f>
        <v/>
      </c>
      <c r="W9" s="13">
        <f>M9+N9+V9</f>
        <v/>
      </c>
      <c r="X9" s="13">
        <f>L9-W9</f>
        <v/>
      </c>
      <c r="Y9" s="14">
        <f>IFERROR(W9/L9,0)</f>
        <v/>
      </c>
      <c r="Z9" s="10" t="inlineStr">
        <is>
          <t>Meerdaagse training</t>
        </is>
      </c>
    </row>
    <row r="10">
      <c r="A10" s="3" t="inlineStr">
        <is>
          <t>Julia</t>
        </is>
      </c>
      <c r="B10" s="4" t="inlineStr">
        <is>
          <t>HR</t>
        </is>
      </c>
      <c r="C10" s="3" t="inlineStr">
        <is>
          <t>HR Medewerker</t>
        </is>
      </c>
      <c r="D10" s="4" t="inlineStr">
        <is>
          <t>Nijmegen</t>
        </is>
      </c>
      <c r="E10" s="4" t="inlineStr">
        <is>
          <t>Compliance</t>
        </is>
      </c>
      <c r="F10" s="3" t="inlineStr">
        <is>
          <t>AVG &amp; Privacy</t>
        </is>
      </c>
      <c r="G10" s="34" t="n">
        <v>46050</v>
      </c>
      <c r="H10" s="34" t="n">
        <v>46071</v>
      </c>
      <c r="I10" s="34" t="n">
        <v>46071</v>
      </c>
      <c r="J10" s="3" t="inlineStr">
        <is>
          <t>Privacy Company</t>
        </is>
      </c>
      <c r="K10" s="4" t="inlineStr">
        <is>
          <t>Teambudget</t>
        </is>
      </c>
      <c r="L10" s="6" t="n">
        <v>350</v>
      </c>
      <c r="M10" s="6" t="n">
        <v>350</v>
      </c>
      <c r="N10" s="6" t="n">
        <v>0</v>
      </c>
      <c r="O10" s="6" t="n">
        <v>0</v>
      </c>
      <c r="P10" s="7">
        <f>MAX(0,M10+N10-O10)</f>
        <v/>
      </c>
      <c r="Q10" s="4" t="inlineStr">
        <is>
          <t>Afgerond</t>
        </is>
      </c>
      <c r="R10" s="4" t="inlineStr">
        <is>
          <t>Midden</t>
        </is>
      </c>
      <c r="S10" s="4" t="inlineStr">
        <is>
          <t>Ja</t>
        </is>
      </c>
      <c r="T10" s="4" t="inlineStr">
        <is>
          <t>Ja</t>
        </is>
      </c>
      <c r="U10" s="8" t="n">
        <v>0.09</v>
      </c>
      <c r="V10" s="7">
        <f>IF(U10=0.21,(M10+N10-O10)*0.21,IF(U10=0.09,(M10+N10-O10)*0.09,0))</f>
        <v/>
      </c>
      <c r="W10" s="7">
        <f>M10+N10+V10</f>
        <v/>
      </c>
      <c r="X10" s="7">
        <f>L10-W10</f>
        <v/>
      </c>
      <c r="Y10" s="9">
        <f>IFERROR(W10/L10,0)</f>
        <v/>
      </c>
      <c r="Z10" s="3" t="inlineStr">
        <is>
          <t>Verplicht i.v.m. compliance</t>
        </is>
      </c>
    </row>
    <row r="11">
      <c r="A11" s="10" t="inlineStr">
        <is>
          <t>Thijs</t>
        </is>
      </c>
      <c r="B11" s="11" t="inlineStr">
        <is>
          <t>IT</t>
        </is>
      </c>
      <c r="C11" s="10" t="inlineStr">
        <is>
          <t>Software Ontwikkelaar</t>
        </is>
      </c>
      <c r="D11" s="11" t="inlineStr">
        <is>
          <t>Groningen</t>
        </is>
      </c>
      <c r="E11" s="11" t="inlineStr">
        <is>
          <t>Techniek</t>
        </is>
      </c>
      <c r="F11" s="10" t="inlineStr">
        <is>
          <t>VBA Automatisering</t>
        </is>
      </c>
      <c r="G11" s="35" t="n">
        <v>46055</v>
      </c>
      <c r="H11" s="35" t="n">
        <v>46073</v>
      </c>
      <c r="I11" s="35" t="n">
        <v>46074</v>
      </c>
      <c r="J11" s="10" t="inlineStr">
        <is>
          <t>Learnit</t>
        </is>
      </c>
      <c r="K11" s="11" t="inlineStr">
        <is>
          <t>Individueel</t>
        </is>
      </c>
      <c r="L11" s="6" t="n">
        <v>650</v>
      </c>
      <c r="M11" s="6" t="n">
        <v>0</v>
      </c>
      <c r="N11" s="6" t="n">
        <v>0</v>
      </c>
      <c r="O11" s="6" t="n">
        <v>0</v>
      </c>
      <c r="P11" s="13">
        <f>MAX(0,M11+N11-O11)</f>
        <v/>
      </c>
      <c r="Q11" s="11" t="inlineStr">
        <is>
          <t>Aangevraagd</t>
        </is>
      </c>
      <c r="R11" s="11" t="inlineStr">
        <is>
          <t>Laag</t>
        </is>
      </c>
      <c r="S11" s="11" t="inlineStr">
        <is>
          <t>Nee</t>
        </is>
      </c>
      <c r="T11" s="11" t="inlineStr">
        <is>
          <t>Nee</t>
        </is>
      </c>
      <c r="U11" s="8" t="n">
        <v>0.21</v>
      </c>
      <c r="V11" s="13">
        <f>IF(U11=0.21,(M11+N11-O11)*0.21,IF(U11=0.09,(M11+N11-O11)*0.09,0))</f>
        <v/>
      </c>
      <c r="W11" s="13">
        <f>M11+N11+V11</f>
        <v/>
      </c>
      <c r="X11" s="13">
        <f>L11-W11</f>
        <v/>
      </c>
      <c r="Y11" s="14">
        <f>IFERROR(W11/L11,0)</f>
        <v/>
      </c>
      <c r="Z11" s="10" t="inlineStr">
        <is>
          <t>Wachten op goedkeuring</t>
        </is>
      </c>
    </row>
    <row r="12">
      <c r="A12" s="3" t="inlineStr">
        <is>
          <t>Lieke</t>
        </is>
      </c>
      <c r="B12" s="4" t="inlineStr">
        <is>
          <t>Sales</t>
        </is>
      </c>
      <c r="C12" s="3" t="inlineStr">
        <is>
          <t>Sales Manager</t>
        </is>
      </c>
      <c r="D12" s="4" t="inlineStr">
        <is>
          <t>Breda</t>
        </is>
      </c>
      <c r="E12" s="4" t="inlineStr">
        <is>
          <t>Management</t>
        </is>
      </c>
      <c r="F12" s="3" t="inlineStr">
        <is>
          <t>Leiderschapstraining</t>
        </is>
      </c>
      <c r="G12" s="34" t="n">
        <v>46058</v>
      </c>
      <c r="H12" s="34" t="n">
        <v>46078</v>
      </c>
      <c r="I12" s="34" t="n">
        <v>46080</v>
      </c>
      <c r="J12" s="3" t="inlineStr">
        <is>
          <t>Schouten &amp; Nelissen</t>
        </is>
      </c>
      <c r="K12" s="4" t="inlineStr">
        <is>
          <t>Individueel</t>
        </is>
      </c>
      <c r="L12" s="6" t="n">
        <v>1500</v>
      </c>
      <c r="M12" s="6" t="n">
        <v>1400</v>
      </c>
      <c r="N12" s="6" t="n">
        <v>200</v>
      </c>
      <c r="O12" s="6" t="n">
        <v>300</v>
      </c>
      <c r="P12" s="7">
        <f>MAX(0,M12+N12-O12)</f>
        <v/>
      </c>
      <c r="Q12" s="4" t="inlineStr">
        <is>
          <t>Goedgekeurd</t>
        </is>
      </c>
      <c r="R12" s="4" t="inlineStr">
        <is>
          <t>Hoog</t>
        </is>
      </c>
      <c r="S12" s="4" t="inlineStr">
        <is>
          <t>Ja</t>
        </is>
      </c>
      <c r="T12" s="4" t="inlineStr">
        <is>
          <t>Nee</t>
        </is>
      </c>
      <c r="U12" s="8" t="n">
        <v>0.21</v>
      </c>
      <c r="V12" s="7">
        <f>IF(U12=0.21,(M12+N12-O12)*0.21,IF(U12=0.09,(M12+N12-O12)*0.09,0))</f>
        <v/>
      </c>
      <c r="W12" s="7">
        <f>M12+N12+V12</f>
        <v/>
      </c>
      <c r="X12" s="7">
        <f>L12-W12</f>
        <v/>
      </c>
      <c r="Y12" s="9">
        <f>IFERROR(W12/L12,0)</f>
        <v/>
      </c>
      <c r="Z12" s="3" t="inlineStr">
        <is>
          <t>Incl. coaching sessie</t>
        </is>
      </c>
    </row>
    <row r="13">
      <c r="A13" s="15" t="inlineStr">
        <is>
          <t>TOTAAL</t>
        </is>
      </c>
      <c r="B13" s="16" t="n"/>
      <c r="C13" s="16" t="n"/>
      <c r="D13" s="16" t="n"/>
      <c r="E13" s="16" t="n"/>
      <c r="F13" s="16" t="n"/>
      <c r="G13" s="16" t="n"/>
      <c r="H13" s="16" t="n"/>
      <c r="I13" s="16" t="n"/>
      <c r="J13" s="16" t="n"/>
      <c r="K13" s="16" t="n"/>
      <c r="L13" s="17">
        <f>SUM(L4:L12)</f>
        <v/>
      </c>
      <c r="M13" s="17">
        <f>SUM(M4:M12)</f>
        <v/>
      </c>
      <c r="N13" s="17">
        <f>SUM(N4:N12)</f>
        <v/>
      </c>
      <c r="O13" s="17">
        <f>SUM(O4:O12)</f>
        <v/>
      </c>
      <c r="P13" s="17">
        <f>SUM(P4:P12)</f>
        <v/>
      </c>
      <c r="Q13" s="16" t="n"/>
      <c r="R13" s="16" t="n"/>
      <c r="S13" s="16" t="n"/>
      <c r="T13" s="16" t="n"/>
      <c r="U13" s="16" t="n"/>
      <c r="V13" s="17">
        <f>SUM(V4:V12)</f>
        <v/>
      </c>
      <c r="W13" s="17">
        <f>SUM(W4:W12)</f>
        <v/>
      </c>
      <c r="X13" s="17">
        <f>SUM(X4:X12)</f>
        <v/>
      </c>
      <c r="Y13" s="18">
        <f>IFERROR(W13/L13,0)</f>
        <v/>
      </c>
      <c r="Z13" s="19" t="n"/>
    </row>
  </sheetData>
  <autoFilter ref="A3:Z12"/>
  <mergeCells count="1">
    <mergeCell ref="A1:Z1"/>
  </mergeCells>
  <conditionalFormatting sqref="X4:X12">
    <cfRule type="expression" priority="1" dxfId="0" stopIfTrue="1">
      <formula>X4&gt;=0</formula>
    </cfRule>
    <cfRule type="expression" priority="2" dxfId="1" stopIfTrue="1">
      <formula>X4&lt;0</formula>
    </cfRule>
  </conditionalFormatting>
  <dataValidations count="4">
    <dataValidation sqref="Q4:Q12" showErrorMessage="1" showInputMessage="1" allowBlank="1" type="list">
      <formula1>"Aangevraagd,Goedgekeurd,Afgerond,Geannuleerd"</formula1>
    </dataValidation>
    <dataValidation sqref="R4:R12" showErrorMessage="1" showInputMessage="1" allowBlank="1" type="list">
      <formula1>"Laag,Midden,Hoog"</formula1>
    </dataValidation>
    <dataValidation sqref="S4:S12" showErrorMessage="1" showInputMessage="1" allowBlank="1" type="list">
      <formula1>"Ja,Nee"</formula1>
    </dataValidation>
    <dataValidation sqref="T4:T12" showErrorMessage="1" showInputMessage="1" allowBlank="1" type="list">
      <formula1>"Ja,Nee"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14" customWidth="1" min="4" max="4"/>
    <col width="18" customWidth="1" min="5" max="5"/>
    <col width="3" customWidth="1" min="6" max="6"/>
    <col width="16" customWidth="1" min="7" max="7"/>
    <col width="18" customWidth="1" min="8" max="8"/>
    <col width="3" customWidth="1" min="9" max="9"/>
    <col width="10" customWidth="1" min="10" max="10"/>
    <col width="16" customWidth="1" min="11" max="11"/>
  </cols>
  <sheetData>
    <row r="1" ht="26" customHeight="1">
      <c r="A1" s="20" t="inlineStr">
        <is>
          <t>Dashboard – Opleidingsbudget 2026</t>
        </is>
      </c>
    </row>
    <row r="2"/>
    <row r="3">
      <c r="A3" s="21" t="inlineStr">
        <is>
          <t>Kernindicatoren</t>
        </is>
      </c>
      <c r="D3" s="22" t="inlineStr">
        <is>
          <t>Afdeling</t>
        </is>
      </c>
      <c r="E3" s="22" t="inlineStr">
        <is>
          <t>Totale kosten (€)</t>
        </is>
      </c>
      <c r="G3" s="22" t="inlineStr">
        <is>
          <t>Categorie</t>
        </is>
      </c>
      <c r="H3" s="22" t="inlineStr">
        <is>
          <t>Totale kosten (€)</t>
        </is>
      </c>
      <c r="J3" s="22" t="inlineStr">
        <is>
          <t>Maand</t>
        </is>
      </c>
      <c r="K3" s="22" t="inlineStr">
        <is>
          <t>Uitgaven (€)</t>
        </is>
      </c>
    </row>
    <row r="4">
      <c r="A4" s="23" t="inlineStr">
        <is>
          <t>Totaal begroot budget</t>
        </is>
      </c>
      <c r="B4" s="24">
        <f>SUM(Opleidingsbudget!L4:L12)</f>
        <v/>
      </c>
      <c r="D4" s="19" t="inlineStr">
        <is>
          <t>HR</t>
        </is>
      </c>
      <c r="E4" s="25">
        <f>SUMIF(Opleidingsbudget!$B$4:$B$12,D4,Opleidingsbudget!$W$4:$W$12)</f>
        <v/>
      </c>
      <c r="G4" s="19" t="inlineStr">
        <is>
          <t>Soft Skills</t>
        </is>
      </c>
      <c r="H4" s="25">
        <f>SUMIF(Opleidingsbudget!$E$4:$E$12,G4,Opleidingsbudget!$W$4:$W$12)</f>
        <v/>
      </c>
      <c r="J4" s="19" t="inlineStr">
        <is>
          <t>Jan</t>
        </is>
      </c>
      <c r="K4" s="25">
        <f>SUMPRODUCT((MONTH(Opleidingsbudget!$H$4:$H$12)=1)*(YEAR(Opleidingsbudget!$H$4:$H$12)=2026)*(Opleidingsbudget!$W$4:$W$12))</f>
        <v/>
      </c>
    </row>
    <row r="5">
      <c r="A5" s="26" t="inlineStr">
        <is>
          <t>Totaal werkelijke kosten</t>
        </is>
      </c>
      <c r="B5" s="27">
        <f>SUM(Opleidingsbudget!M4:M12)</f>
        <v/>
      </c>
      <c r="D5" s="19" t="inlineStr">
        <is>
          <t>Finance</t>
        </is>
      </c>
      <c r="E5" s="25">
        <f>SUMIF(Opleidingsbudget!$B$4:$B$12,D5,Opleidingsbudget!$W$4:$W$12)</f>
        <v/>
      </c>
      <c r="G5" s="19" t="inlineStr">
        <is>
          <t>Techniek</t>
        </is>
      </c>
      <c r="H5" s="25">
        <f>SUMIF(Opleidingsbudget!$E$4:$E$12,G5,Opleidingsbudget!$W$4:$W$12)</f>
        <v/>
      </c>
      <c r="J5" s="19" t="inlineStr">
        <is>
          <t>Feb</t>
        </is>
      </c>
      <c r="K5" s="25">
        <f>SUMPRODUCT((MONTH(Opleidingsbudget!$H$4:$H$12)=2)*(YEAR(Opleidingsbudget!$H$4:$H$12)=2026)*(Opleidingsbudget!$W$4:$W$12))</f>
        <v/>
      </c>
    </row>
    <row r="6">
      <c r="A6" s="23" t="inlineStr">
        <is>
          <t>Totaal kosten incl. btw</t>
        </is>
      </c>
      <c r="B6" s="24">
        <f>SUM(Opleidingsbudget!W4:W12)</f>
        <v/>
      </c>
      <c r="D6" s="19" t="inlineStr">
        <is>
          <t>Sales</t>
        </is>
      </c>
      <c r="E6" s="25">
        <f>SUMIF(Opleidingsbudget!$B$4:$B$12,D6,Opleidingsbudget!$W$4:$W$12)</f>
        <v/>
      </c>
      <c r="G6" s="19" t="inlineStr">
        <is>
          <t>Vakinhoudelijk</t>
        </is>
      </c>
      <c r="H6" s="25">
        <f>SUMIF(Opleidingsbudget!$E$4:$E$12,G6,Opleidingsbudget!$W$4:$W$12)</f>
        <v/>
      </c>
      <c r="J6" s="19" t="inlineStr">
        <is>
          <t>Mrt</t>
        </is>
      </c>
      <c r="K6" s="25">
        <f>SUMPRODUCT((MONTH(Opleidingsbudget!$H$4:$H$12)=3)*(YEAR(Opleidingsbudget!$H$4:$H$12)=2026)*(Opleidingsbudget!$W$4:$W$12))</f>
        <v/>
      </c>
    </row>
    <row r="7">
      <c r="A7" s="26" t="inlineStr">
        <is>
          <t>Totaal subsidie ontvangen</t>
        </is>
      </c>
      <c r="B7" s="27">
        <f>SUM(Opleidingsbudget!O4:O12)</f>
        <v/>
      </c>
      <c r="D7" s="19" t="inlineStr">
        <is>
          <t>IT</t>
        </is>
      </c>
      <c r="E7" s="25">
        <f>SUMIF(Opleidingsbudget!$B$4:$B$12,D7,Opleidingsbudget!$W$4:$W$12)</f>
        <v/>
      </c>
      <c r="G7" s="19" t="inlineStr">
        <is>
          <t>Management</t>
        </is>
      </c>
      <c r="H7" s="25">
        <f>SUMIF(Opleidingsbudget!$E$4:$E$12,G7,Opleidingsbudget!$W$4:$W$12)</f>
        <v/>
      </c>
      <c r="J7" s="19" t="inlineStr">
        <is>
          <t>Apr</t>
        </is>
      </c>
      <c r="K7" s="25">
        <f>SUMPRODUCT((MONTH(Opleidingsbudget!$H$4:$H$12)=4)*(YEAR(Opleidingsbudget!$H$4:$H$12)=2026)*(Opleidingsbudget!$W$4:$W$12))</f>
        <v/>
      </c>
    </row>
    <row r="8">
      <c r="A8" s="23" t="inlineStr">
        <is>
          <t>Gemiddelde kosten per medewerker</t>
        </is>
      </c>
      <c r="B8" s="24">
        <f>IFERROR(AVERAGE(Opleidingsbudget!W4:W12),0)</f>
        <v/>
      </c>
      <c r="D8" s="19" t="inlineStr">
        <is>
          <t>Operations</t>
        </is>
      </c>
      <c r="E8" s="25">
        <f>SUMIF(Opleidingsbudget!$B$4:$B$12,D8,Opleidingsbudget!$W$4:$W$12)</f>
        <v/>
      </c>
      <c r="G8" s="19" t="inlineStr">
        <is>
          <t>Compliance</t>
        </is>
      </c>
      <c r="H8" s="25">
        <f>SUMIF(Opleidingsbudget!$E$4:$E$12,G8,Opleidingsbudget!$W$4:$W$12)</f>
        <v/>
      </c>
      <c r="J8" s="19" t="inlineStr">
        <is>
          <t>Mei</t>
        </is>
      </c>
      <c r="K8" s="25">
        <f>SUMPRODUCT((MONTH(Opleidingsbudget!$H$4:$H$12)=5)*(YEAR(Opleidingsbudget!$H$4:$H$12)=2026)*(Opleidingsbudget!$W$4:$W$12))</f>
        <v/>
      </c>
    </row>
    <row r="9">
      <c r="A9" s="26" t="inlineStr">
        <is>
          <t>% Budget benut (totaal)</t>
        </is>
      </c>
      <c r="B9" s="28">
        <f>IFERROR(B6/B4,0)</f>
        <v/>
      </c>
      <c r="D9" s="19" t="inlineStr">
        <is>
          <t>Marketing</t>
        </is>
      </c>
      <c r="E9" s="25">
        <f>SUMIF(Opleidingsbudget!$B$4:$B$12,D9,Opleidingsbudget!$W$4:$W$12)</f>
        <v/>
      </c>
      <c r="J9" s="19" t="inlineStr">
        <is>
          <t>Jun</t>
        </is>
      </c>
      <c r="K9" s="25">
        <f>SUMPRODUCT((MONTH(Opleidingsbudget!$H$4:$H$12)=6)*(YEAR(Opleidingsbudget!$H$4:$H$12)=2026)*(Opleidingsbudget!$W$4:$W$12))</f>
        <v/>
      </c>
    </row>
    <row r="10">
      <c r="A10" s="23" t="inlineStr">
        <is>
          <t>Aantal opleidingen totaal</t>
        </is>
      </c>
      <c r="B10" s="29">
        <f>COUNTA(Opleidingsbudget!A4:A12)</f>
        <v/>
      </c>
      <c r="J10" s="19" t="inlineStr">
        <is>
          <t>Jul</t>
        </is>
      </c>
      <c r="K10" s="25">
        <f>SUMPRODUCT((MONTH(Opleidingsbudget!$H$4:$H$12)=7)*(YEAR(Opleidingsbudget!$H$4:$H$12)=2026)*(Opleidingsbudget!$W$4:$W$12))</f>
        <v/>
      </c>
    </row>
    <row r="11">
      <c r="J11" s="19" t="inlineStr">
        <is>
          <t>Aug</t>
        </is>
      </c>
      <c r="K11" s="25">
        <f>SUMPRODUCT((MONTH(Opleidingsbudget!$H$4:$H$12)=8)*(YEAR(Opleidingsbudget!$H$4:$H$12)=2026)*(Opleidingsbudget!$W$4:$W$12))</f>
        <v/>
      </c>
    </row>
    <row r="12">
      <c r="A12" s="21" t="inlineStr">
        <is>
          <t>Status overzicht</t>
        </is>
      </c>
      <c r="J12" s="19" t="inlineStr">
        <is>
          <t>Sep</t>
        </is>
      </c>
      <c r="K12" s="25">
        <f>SUMPRODUCT((MONTH(Opleidingsbudget!$H$4:$H$12)=9)*(YEAR(Opleidingsbudget!$H$4:$H$12)=2026)*(Opleidingsbudget!$W$4:$W$12))</f>
        <v/>
      </c>
    </row>
    <row r="13">
      <c r="A13" s="23" t="inlineStr">
        <is>
          <t>Aangevraagd</t>
        </is>
      </c>
      <c r="B13" s="29">
        <f>COUNTIF(Opleidingsbudget!Q4:Q12,"Aangevraagd")</f>
        <v/>
      </c>
      <c r="J13" s="19" t="inlineStr">
        <is>
          <t>Okt</t>
        </is>
      </c>
      <c r="K13" s="25">
        <f>SUMPRODUCT((MONTH(Opleidingsbudget!$H$4:$H$12)=10)*(YEAR(Opleidingsbudget!$H$4:$H$12)=2026)*(Opleidingsbudget!$W$4:$W$12))</f>
        <v/>
      </c>
    </row>
    <row r="14">
      <c r="A14" s="26" t="inlineStr">
        <is>
          <t>Goedgekeurd</t>
        </is>
      </c>
      <c r="B14" s="30">
        <f>COUNTIF(Opleidingsbudget!Q4:Q12,"Goedgekeurd")</f>
        <v/>
      </c>
      <c r="J14" s="19" t="inlineStr">
        <is>
          <t>Nov</t>
        </is>
      </c>
      <c r="K14" s="25">
        <f>SUMPRODUCT((MONTH(Opleidingsbudget!$H$4:$H$12)=11)*(YEAR(Opleidingsbudget!$H$4:$H$12)=2026)*(Opleidingsbudget!$W$4:$W$12))</f>
        <v/>
      </c>
    </row>
    <row r="15">
      <c r="A15" s="23" t="inlineStr">
        <is>
          <t>Afgerond</t>
        </is>
      </c>
      <c r="B15" s="29">
        <f>COUNTIF(Opleidingsbudget!Q4:Q12,"Afgerond")</f>
        <v/>
      </c>
      <c r="J15" s="19" t="inlineStr">
        <is>
          <t>Dec</t>
        </is>
      </c>
      <c r="K15" s="25">
        <f>SUMPRODUCT((MONTH(Opleidingsbudget!$H$4:$H$12)=12)*(YEAR(Opleidingsbudget!$H$4:$H$12)=2026)*(Opleidingsbudget!$W$4:$W$12))</f>
        <v/>
      </c>
    </row>
    <row r="16">
      <c r="A16" s="26" t="inlineStr">
        <is>
          <t>Geannuleerd</t>
        </is>
      </c>
      <c r="B16" s="30">
        <f>COUNTIF(Opleidingsbudget!Q4:Q12,"Geannuleerd")</f>
        <v/>
      </c>
    </row>
    <row r="17"/>
    <row r="18"/>
    <row r="19">
      <c r="A19" s="21" t="inlineStr">
        <is>
          <t>Referentietabel – Standaard opleidingsbudget per afdeling</t>
        </is>
      </c>
    </row>
    <row r="20">
      <c r="A20" s="2" t="inlineStr">
        <is>
          <t>Afdeling</t>
        </is>
      </c>
      <c r="B20" s="2" t="inlineStr">
        <is>
          <t>Standaard budget per medewerker/jaar (€)</t>
        </is>
      </c>
      <c r="C20" s="2" t="inlineStr">
        <is>
          <t>Standaard btw-tarief</t>
        </is>
      </c>
    </row>
    <row r="21">
      <c r="A21" s="23" t="inlineStr">
        <is>
          <t>HR</t>
        </is>
      </c>
      <c r="B21" s="24" t="n">
        <v>750</v>
      </c>
      <c r="C21" s="31" t="n">
        <v>0.21</v>
      </c>
    </row>
    <row r="22">
      <c r="A22" s="26" t="inlineStr">
        <is>
          <t>Finance</t>
        </is>
      </c>
      <c r="B22" s="27" t="n">
        <v>800</v>
      </c>
      <c r="C22" s="28" t="n">
        <v>0.21</v>
      </c>
    </row>
    <row r="23">
      <c r="A23" s="23" t="inlineStr">
        <is>
          <t>Sales</t>
        </is>
      </c>
      <c r="B23" s="24" t="n">
        <v>700</v>
      </c>
      <c r="C23" s="31" t="n">
        <v>0.21</v>
      </c>
    </row>
    <row r="24">
      <c r="A24" s="26" t="inlineStr">
        <is>
          <t>IT</t>
        </is>
      </c>
      <c r="B24" s="27" t="n">
        <v>900</v>
      </c>
      <c r="C24" s="28" t="n">
        <v>0.21</v>
      </c>
    </row>
    <row r="25">
      <c r="A25" s="23" t="inlineStr">
        <is>
          <t>Operations</t>
        </is>
      </c>
      <c r="B25" s="24" t="n">
        <v>650</v>
      </c>
      <c r="C25" s="31" t="n">
        <v>0.21</v>
      </c>
    </row>
    <row r="26">
      <c r="A26" s="26" t="inlineStr">
        <is>
          <t>Marketing</t>
        </is>
      </c>
      <c r="B26" s="27" t="n">
        <v>700</v>
      </c>
      <c r="C26" s="28" t="n">
        <v>0.21</v>
      </c>
    </row>
    <row r="27"/>
    <row r="28">
      <c r="A28" s="19" t="inlineStr">
        <is>
          <t>Voorbeeld opzoeking: afdeling</t>
        </is>
      </c>
      <c r="B28" s="32" t="inlineStr">
        <is>
          <t>IT</t>
        </is>
      </c>
    </row>
    <row r="29">
      <c r="A29" s="19" t="inlineStr">
        <is>
          <t>Standaard budget (VLOOKUP)</t>
        </is>
      </c>
      <c r="B29" s="25">
        <f>IFERROR(VLOOKUP(B28,A21:C26,2,FALSE),"Niet gevonden")</f>
        <v/>
      </c>
    </row>
    <row r="30">
      <c r="A30" s="19" t="inlineStr">
        <is>
          <t>Standaard btw-tarief (VLOOKUP)</t>
        </is>
      </c>
      <c r="B30" s="33">
        <f>IFERROR(VLOOKUP(B28,A21:C26,3,FALSE),"Niet gevonden")</f>
        <v/>
      </c>
    </row>
  </sheetData>
  <mergeCells count="4">
    <mergeCell ref="A1:K1"/>
    <mergeCell ref="A3:B3"/>
    <mergeCell ref="A12:B12"/>
    <mergeCell ref="A19:C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8" customWidth="1" min="1" max="1"/>
    <col width="26" customWidth="1" min="2" max="2"/>
    <col width="26" customWidth="1" min="3" max="3"/>
    <col width="26" customWidth="1" min="4" max="4"/>
  </cols>
  <sheetData>
    <row r="1" ht="26" customHeight="1">
      <c r="A1" s="20" t="inlineStr">
        <is>
          <t>Instructies – Opleidingsbudget sjabloon</t>
        </is>
      </c>
    </row>
    <row r="2"/>
    <row r="3">
      <c r="A3" s="22" t="inlineStr">
        <is>
          <t>Onderwerp</t>
        </is>
      </c>
      <c r="B3" s="22" t="inlineStr">
        <is>
          <t>Uitleg</t>
        </is>
      </c>
      <c r="C3" s="36" t="n"/>
      <c r="D3" s="37" t="n"/>
    </row>
    <row r="4" ht="30" customHeight="1">
      <c r="A4" s="23" t="inlineStr">
        <is>
          <t>Nieuwe regel toevoegen</t>
        </is>
      </c>
      <c r="B4" s="3" t="inlineStr">
        <is>
          <t>Voeg onderaan de tabel op het tabblad 'Opleidingsbudget' een nieuwe rij toe boven de TOTAAL-regel en vul alle kolommen in.</t>
        </is>
      </c>
      <c r="C4" s="36" t="n"/>
      <c r="D4" s="37" t="n"/>
    </row>
    <row r="5" ht="30" customHeight="1">
      <c r="A5" s="26" t="inlineStr">
        <is>
          <t>Verplichte kolommen</t>
        </is>
      </c>
      <c r="B5" s="10" t="inlineStr">
        <is>
          <t>Medewerker, Afdeling, Opleidingsnaam, Aanvraagdatum, Begroot budget, Status en BTW-tarief zijn verplicht om correcte berekeningen te krijgen.</t>
        </is>
      </c>
      <c r="C5" s="36" t="n"/>
      <c r="D5" s="37" t="n"/>
    </row>
    <row r="6" ht="30" customHeight="1">
      <c r="A6" s="23" t="inlineStr">
        <is>
          <t>Status-veld</t>
        </is>
      </c>
      <c r="B6" s="3" t="inlineStr">
        <is>
          <t>Kies uit: Aangevraagd, Goedgekeurd, Afgerond of Geannuleerd via de keuzelijst in kolom Q.</t>
        </is>
      </c>
      <c r="C6" s="36" t="n"/>
      <c r="D6" s="37" t="n"/>
    </row>
    <row r="7" ht="30" customHeight="1">
      <c r="A7" s="26" t="inlineStr">
        <is>
          <t>Prioriteit</t>
        </is>
      </c>
      <c r="B7" s="10" t="inlineStr">
        <is>
          <t>Kies uit: Laag, Midden of Hoog via de keuzelijst in kolom R.</t>
        </is>
      </c>
      <c r="C7" s="36" t="n"/>
      <c r="D7" s="37" t="n"/>
    </row>
    <row r="8" ht="30" customHeight="1">
      <c r="A8" s="23" t="inlineStr">
        <is>
          <t>BTW-tarief</t>
        </is>
      </c>
      <c r="B8" s="3" t="inlineStr">
        <is>
          <t>Vul 21%, 9% of 0% in bij kolom U. Dit bepaalt automatisch het BTW-bedrag en de totale kosten incl. btw.</t>
        </is>
      </c>
      <c r="C8" s="36" t="n"/>
      <c r="D8" s="37" t="n"/>
    </row>
    <row r="9" ht="30" customHeight="1">
      <c r="A9" s="26" t="inlineStr">
        <is>
          <t>Kleurcodering invoer</t>
        </is>
      </c>
      <c r="B9" s="10" t="inlineStr">
        <is>
          <t>Lichtgele cellen (kolommen L, M, N, O en U) zijn invoercellen die u zelf mag aanpassen.</t>
        </is>
      </c>
      <c r="C9" s="36" t="n"/>
      <c r="D9" s="37" t="n"/>
    </row>
    <row r="10" ht="30" customHeight="1">
      <c r="A10" s="23" t="inlineStr">
        <is>
          <t>Kleurcodering waarschuwing</t>
        </is>
      </c>
      <c r="B10" s="3" t="inlineStr">
        <is>
          <t>Kolom 'Budgetverschil (€)' kleurt automatisch groen bij een positief verschil en rood bij een overschrijding van het budget.</t>
        </is>
      </c>
      <c r="C10" s="36" t="n"/>
      <c r="D10" s="37" t="n"/>
    </row>
    <row r="11" ht="30" customHeight="1">
      <c r="A11" s="26" t="inlineStr">
        <is>
          <t>Automatische berekeningen</t>
        </is>
      </c>
      <c r="B11" s="10" t="inlineStr">
        <is>
          <t>Zelf te betalen, BTW-bedrag, Totale kosten incl. btw, Budgetverschil en % Budget benut worden automatisch berekend; deze hoeft u niet zelf in te vullen.</t>
        </is>
      </c>
      <c r="C11" s="36" t="n"/>
      <c r="D11" s="37" t="n"/>
    </row>
    <row r="12" ht="30" customHeight="1">
      <c r="A12" s="23" t="inlineStr">
        <is>
          <t>Dashboard</t>
        </is>
      </c>
      <c r="B12" s="3" t="inlineStr">
        <is>
          <t>Het tabblad 'Dashboard' berekent automatisch totalen, gemiddelden en aantallen per status op basis van de ingevoerde gegevens, en toont drie grafieken.</t>
        </is>
      </c>
      <c r="C12" s="36" t="n"/>
      <c r="D12" s="37" t="n"/>
    </row>
    <row r="13" ht="30" customHeight="1">
      <c r="A13" s="26" t="inlineStr">
        <is>
          <t>Filters</t>
        </is>
      </c>
      <c r="B13" s="10" t="inlineStr">
        <is>
          <t>Gebruik de filterpijltjes in de headerrij van 'Opleidingsbudget' om te sorteren of te filteren op afdeling, status of categorie.</t>
        </is>
      </c>
      <c r="C13" s="36" t="n"/>
      <c r="D13" s="37" t="n"/>
    </row>
    <row r="14"/>
    <row r="15"/>
    <row r="16">
      <c r="A16" s="21" t="inlineStr">
        <is>
          <t>Referentietabel – Standaard opleidingsbudget per afdeling</t>
        </is>
      </c>
    </row>
    <row r="17">
      <c r="A17" s="2" t="inlineStr">
        <is>
          <t>Afdeling</t>
        </is>
      </c>
      <c r="B17" s="2" t="inlineStr">
        <is>
          <t>Standaard budget per medewerker/jaar (€)</t>
        </is>
      </c>
      <c r="C17" s="2" t="inlineStr">
        <is>
          <t>Standaard btw-tarief</t>
        </is>
      </c>
    </row>
    <row r="18">
      <c r="A18" s="23" t="inlineStr">
        <is>
          <t>HR</t>
        </is>
      </c>
      <c r="B18" s="24" t="n">
        <v>750</v>
      </c>
      <c r="C18" s="31" t="n">
        <v>0.21</v>
      </c>
    </row>
    <row r="19">
      <c r="A19" s="26" t="inlineStr">
        <is>
          <t>Finance</t>
        </is>
      </c>
      <c r="B19" s="27" t="n">
        <v>800</v>
      </c>
      <c r="C19" s="28" t="n">
        <v>0.21</v>
      </c>
    </row>
    <row r="20">
      <c r="A20" s="23" t="inlineStr">
        <is>
          <t>Sales</t>
        </is>
      </c>
      <c r="B20" s="24" t="n">
        <v>700</v>
      </c>
      <c r="C20" s="31" t="n">
        <v>0.21</v>
      </c>
    </row>
    <row r="21">
      <c r="A21" s="26" t="inlineStr">
        <is>
          <t>IT</t>
        </is>
      </c>
      <c r="B21" s="27" t="n">
        <v>900</v>
      </c>
      <c r="C21" s="28" t="n">
        <v>0.21</v>
      </c>
    </row>
    <row r="22">
      <c r="A22" s="23" t="inlineStr">
        <is>
          <t>Operations</t>
        </is>
      </c>
      <c r="B22" s="24" t="n">
        <v>650</v>
      </c>
      <c r="C22" s="31" t="n">
        <v>0.21</v>
      </c>
    </row>
    <row r="23">
      <c r="A23" s="26" t="inlineStr">
        <is>
          <t>Marketing</t>
        </is>
      </c>
      <c r="B23" s="27" t="n">
        <v>700</v>
      </c>
      <c r="C23" s="28" t="n">
        <v>0.21</v>
      </c>
    </row>
  </sheetData>
  <mergeCells count="13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2026-07-02T20:47:38Z</dcterms:created>
  <dcterms:modified xmlns:dcterms="http://purl.org/dc/terms/" xmlns:xsi="http://www.w3.org/2001/XMLSchema-instance" xsi:type="dcterms:W3CDTF">2026-07-02T20:47:38Z</dcterms:modified>
</cp:coreProperties>
</file>