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epturen" sheetId="1" state="visible" r:id="rId1"/>
    <sheet xmlns:r="http://schemas.openxmlformats.org/officeDocument/2006/relationships" name="Ingrediënten" sheetId="2" state="visible" r:id="rId2"/>
    <sheet xmlns:r="http://schemas.openxmlformats.org/officeDocument/2006/relationships" name="Dashboard" sheetId="3" state="visible" r:id="rId3"/>
    <sheet xmlns:r="http://schemas.openxmlformats.org/officeDocument/2006/relationships" name="Handleiding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€&quot; #.##0,00"/>
    <numFmt numFmtId="165" formatCode="0,0%"/>
    <numFmt numFmtId="166" formatCode="DD-MM-JJJJ"/>
  </numFmts>
  <fonts count="6">
    <font>
      <name val="Calibri"/>
      <family val="2"/>
      <color theme="1"/>
      <sz val="11"/>
      <scheme val="minor"/>
    </font>
    <font>
      <name val="Calibri"/>
      <b val="1"/>
      <color rgb="001E293B"/>
      <sz val="16"/>
    </font>
    <font>
      <i val="1"/>
      <color rgb="0064748B"/>
      <sz val="9"/>
    </font>
    <font>
      <name val="Calibri"/>
      <b val="1"/>
      <color rgb="00FFFFFF"/>
      <sz val="11"/>
    </font>
    <font>
      <b val="1"/>
      <color rgb="001E293B"/>
      <sz val="12"/>
    </font>
    <font>
      <b val="1"/>
    </font>
  </fonts>
  <fills count="7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FFFBEB"/>
      </patternFill>
    </fill>
    <fill>
      <patternFill patternType="solid">
        <fgColor rgb="00F8FAFC"/>
      </patternFill>
    </fill>
    <fill>
      <patternFill patternType="solid">
        <fgColor rgb="00FFFFFF"/>
      </patternFill>
    </fill>
    <fill>
      <patternFill patternType="solid">
        <fgColor rgb="00C8102E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  <border>
      <left/>
      <right/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4" borderId="1" pivotButton="0" quotePrefix="0" xfId="0"/>
    <xf numFmtId="0" fontId="0" fillId="3" borderId="1" pivotButton="0" quotePrefix="0" xfId="0"/>
    <xf numFmtId="164" fontId="0" fillId="4" borderId="1" pivotButton="0" quotePrefix="0" xfId="0"/>
    <xf numFmtId="164" fontId="0" fillId="3" borderId="1" pivotButton="0" quotePrefix="0" xfId="0"/>
    <xf numFmtId="165" fontId="0" fillId="3" borderId="1" pivotButton="0" quotePrefix="0" xfId="0"/>
    <xf numFmtId="165" fontId="0" fillId="4" borderId="1" pivotButton="0" quotePrefix="0" xfId="0"/>
    <xf numFmtId="0" fontId="0" fillId="5" borderId="1" pivotButton="0" quotePrefix="0" xfId="0"/>
    <xf numFmtId="164" fontId="0" fillId="5" borderId="1" pivotButton="0" quotePrefix="0" xfId="0"/>
    <xf numFmtId="165" fontId="0" fillId="5" borderId="1" pivotButton="0" quotePrefix="0" xfId="0"/>
    <xf numFmtId="166" fontId="0" fillId="4" borderId="1" pivotButton="0" quotePrefix="0" xfId="0"/>
    <xf numFmtId="166" fontId="0" fillId="5" borderId="1" pivotButton="0" quotePrefix="0" xfId="0"/>
    <xf numFmtId="0" fontId="3" fillId="6" borderId="1" applyAlignment="1" pivotButton="0" quotePrefix="0" xfId="0">
      <alignment horizontal="center" vertical="center" wrapText="1"/>
    </xf>
    <xf numFmtId="0" fontId="4" fillId="4" borderId="1" pivotButton="0" quotePrefix="0" xfId="0"/>
    <xf numFmtId="165" fontId="4" fillId="5" borderId="1" pivotButton="0" quotePrefix="0" xfId="0"/>
    <xf numFmtId="165" fontId="4" fillId="4" borderId="1" pivotButton="0" quotePrefix="0" xfId="0"/>
    <xf numFmtId="164" fontId="4" fillId="5" borderId="1" pivotButton="0" quotePrefix="0" xfId="0"/>
    <xf numFmtId="0" fontId="4" fillId="5" borderId="1" pivotButton="0" quotePrefix="0" xfId="0"/>
    <xf numFmtId="0" fontId="5" fillId="4" borderId="1" pivotButton="0" quotePrefix="0" xfId="0"/>
    <xf numFmtId="0" fontId="0" fillId="4" borderId="1" applyAlignment="1" pivotButton="0" quotePrefix="0" xfId="0">
      <alignment vertical="center" wrapText="1"/>
    </xf>
    <xf numFmtId="0" fontId="5" fillId="5" borderId="1" pivotButton="0" quotePrefix="0" xfId="0"/>
    <xf numFmtId="0" fontId="0" fillId="5" borderId="1" applyAlignment="1" pivotButton="0" quotePrefix="0" xfId="0">
      <alignment vertical="center" wrapText="1"/>
    </xf>
    <xf numFmtId="166" fontId="0" fillId="4" borderId="1" pivotButton="0" quotePrefix="0" xfId="0"/>
    <xf numFmtId="166" fontId="0" fillId="5" borderId="1" pivotButton="0" quotePrefix="0" xfId="0"/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2">
    <dxf>
      <font>
        <b val="1"/>
        <color rgb="00DC2626"/>
      </font>
      <fill>
        <patternFill patternType="solid">
          <fgColor rgb="00FEE2E2"/>
        </patternFill>
      </fill>
    </dxf>
    <dxf>
      <font>
        <b val="1"/>
        <color rgb="0022C55E"/>
      </font>
      <fill>
        <patternFill patternType="solid">
          <fgColor rgb="00D1FA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Kostprijs vs. Verkoopprijs per Recept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'Dashboard'!D12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'Dashboard'!$B$13:$B$22</f>
            </numRef>
          </cat>
          <val>
            <numRef>
              <f>'Dashboard'!$D$13:$D$22</f>
            </numRef>
          </val>
        </ser>
        <ser>
          <idx val="1"/>
          <order val="1"/>
          <tx>
            <strRef>
              <f>'Dashboard'!E12</f>
            </strRef>
          </tx>
          <spPr>
            <a:solidFill xmlns:a="http://schemas.openxmlformats.org/drawingml/2006/main">
              <a:srgbClr val="C8102E"/>
            </a:solidFill>
            <a:ln xmlns:a="http://schemas.openxmlformats.org/drawingml/2006/main">
              <a:prstDash val="solid"/>
            </a:ln>
          </spPr>
          <cat>
            <numRef>
              <f>'Dashboard'!$B$13:$B$22</f>
            </numRef>
          </cat>
          <val>
            <numRef>
              <f>'Dashboard'!$E$13:$E$22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Recept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Bedrag (€)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Kostprijsverdeling per Categorie</a:t>
            </a:r>
          </a:p>
        </rich>
      </tx>
    </title>
    <plotArea>
      <doughnutChart>
        <varyColors val="1"/>
        <ser>
          <idx val="0"/>
          <order val="0"/>
          <tx>
            <strRef>
              <f>'Dashboard'!B25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'Dashboard'!$A$26:$A$31</f>
            </numRef>
          </cat>
          <val>
            <numRef>
              <f>'Dashboard'!$B$26:$B$31</f>
            </numRef>
          </val>
        </ser>
        <firstSliceAng val="0"/>
        <holeSize val="10"/>
      </doughnut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Foodcost % per Recept</a:t>
            </a:r>
          </a:p>
        </rich>
      </tx>
    </title>
    <plotArea>
      <lineChart>
        <grouping val="standard"/>
        <ser>
          <idx val="0"/>
          <order val="0"/>
          <tx>
            <strRef>
              <f>'Dashboard'!F12</f>
            </strRef>
          </tx>
          <spPr>
            <a:ln xmlns:a="http://schemas.openxmlformats.org/drawingml/2006/main" w="20000">
              <a:solidFill>
                <a:srgbClr val="DC2626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'Dashboard'!$B$13:$B$22</f>
            </numRef>
          </cat>
          <val>
            <numRef>
              <f>'Dashboard'!$F$13:$F$22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Recept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Foodcost %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8</col>
      <colOff>0</colOff>
      <row>2</row>
      <rowOff>0</rowOff>
    </from>
    <ext cx="7200000" cy="36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8</col>
      <colOff>0</colOff>
      <row>21</row>
      <rowOff>0</rowOff>
    </from>
    <ext cx="5040000" cy="36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8</col>
      <colOff>0</colOff>
      <row>39</row>
      <rowOff>0</rowOff>
    </from>
    <ext cx="7200000" cy="360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14" customWidth="1" min="3" max="3"/>
    <col width="14" customWidth="1" min="4" max="4"/>
    <col width="12" customWidth="1" min="5" max="5"/>
    <col width="16" customWidth="1" min="6" max="6"/>
    <col width="16" customWidth="1" min="7" max="7"/>
    <col width="12" customWidth="1" min="8" max="8"/>
    <col width="9" customWidth="1" min="9" max="9"/>
    <col width="12" customWidth="1" min="10" max="10"/>
    <col width="12" customWidth="1" min="11" max="11"/>
    <col width="14" customWidth="1" min="12" max="12"/>
    <col width="14" customWidth="1" min="13" max="13"/>
    <col width="10" customWidth="1" min="14" max="14"/>
    <col width="14" customWidth="1" min="15" max="15"/>
    <col width="12" customWidth="1" min="16" max="16"/>
    <col width="10" customWidth="1" min="17" max="17"/>
    <col width="10" customWidth="1" min="18" max="18"/>
    <col width="12" customWidth="1" min="19" max="19"/>
  </cols>
  <sheetData>
    <row r="1" ht="26" customHeight="1">
      <c r="A1" s="1" t="inlineStr">
        <is>
          <t>Receptuur Kostprijs Overzicht - Horeca</t>
        </is>
      </c>
    </row>
    <row r="2">
      <c r="A2" s="2" t="inlineStr">
        <is>
          <t>Alle bedragen excl. tenzij anders vermeld. Gele cellen zijn invoervelden.</t>
        </is>
      </c>
    </row>
    <row r="3" ht="32" customHeight="1">
      <c r="A3" s="3" t="inlineStr">
        <is>
          <t>Recept-ID</t>
        </is>
      </c>
      <c r="B3" s="3" t="inlineStr">
        <is>
          <t>Gerecht/Drank</t>
        </is>
      </c>
      <c r="C3" s="3" t="inlineStr">
        <is>
          <t>Categorie</t>
        </is>
      </c>
      <c r="D3" s="3" t="inlineStr">
        <is>
          <t>Verkooplocatie</t>
        </is>
      </c>
      <c r="E3" s="3" t="inlineStr">
        <is>
          <t>Portiegrootte</t>
        </is>
      </c>
      <c r="F3" s="3" t="inlineStr">
        <is>
          <t>Ingrediënt</t>
        </is>
      </c>
      <c r="G3" s="3" t="inlineStr">
        <is>
          <t>Ingrediëntcategorie</t>
        </is>
      </c>
      <c r="H3" s="3" t="inlineStr">
        <is>
          <t>Hoeveelheid per portie</t>
        </is>
      </c>
      <c r="I3" s="3" t="inlineStr">
        <is>
          <t>Eenheid</t>
        </is>
      </c>
      <c r="J3" s="3" t="inlineStr">
        <is>
          <t>Inkoopprijs per eenheid</t>
        </is>
      </c>
      <c r="K3" s="3" t="inlineStr">
        <is>
          <t>Ingrediëntkost per portie</t>
        </is>
      </c>
      <c r="L3" s="3" t="inlineStr">
        <is>
          <t>Totaal receptkostprijs</t>
        </is>
      </c>
      <c r="M3" s="3" t="inlineStr">
        <is>
          <t>Verkoopprijs excl. btw</t>
        </is>
      </c>
      <c r="N3" s="3" t="inlineStr">
        <is>
          <t>Btw-tarief</t>
        </is>
      </c>
      <c r="O3" s="3" t="inlineStr">
        <is>
          <t>Verkoopprijs incl. btw</t>
        </is>
      </c>
      <c r="P3" s="3" t="inlineStr">
        <is>
          <t>Brutowinst</t>
        </is>
      </c>
      <c r="Q3" s="3" t="inlineStr">
        <is>
          <t>Marge %</t>
        </is>
      </c>
      <c r="R3" s="3" t="inlineStr">
        <is>
          <t>Foodcost %</t>
        </is>
      </c>
      <c r="S3" s="3" t="inlineStr">
        <is>
          <t>Prijsadvies</t>
        </is>
      </c>
    </row>
    <row r="4">
      <c r="A4" s="4" t="inlineStr">
        <is>
          <t>R01</t>
        </is>
      </c>
      <c r="B4" s="4" t="inlineStr">
        <is>
          <t>Caprese salade</t>
        </is>
      </c>
      <c r="C4" s="4" t="inlineStr">
        <is>
          <t>Salades</t>
        </is>
      </c>
      <c r="D4" s="4" t="inlineStr">
        <is>
          <t>Restaurant</t>
        </is>
      </c>
      <c r="E4" s="4" t="inlineStr">
        <is>
          <t>1 bord</t>
        </is>
      </c>
      <c r="F4" s="4" t="inlineStr">
        <is>
          <t>Tomaat</t>
        </is>
      </c>
      <c r="G4" s="4">
        <f>IFERROR(VLOOKUP(F4,'Ingrediënten'!$B$4:$G$13,2,FALSE),"")</f>
        <v/>
      </c>
      <c r="H4" s="5" t="n">
        <v>0.15</v>
      </c>
      <c r="I4" s="4">
        <f>IFERROR(VLOOKUP(F4,'Ingrediënten'!$B$4:$G$13,4,FALSE),"")</f>
        <v/>
      </c>
      <c r="J4" s="6">
        <f>IFERROR(VLOOKUP(F4,'Ingrediënten'!$B$4:$G$13,5,FALSE),0)</f>
        <v/>
      </c>
      <c r="K4" s="4">
        <f>H4*J4</f>
        <v/>
      </c>
      <c r="L4" s="6">
        <f>SUMIF(A:A,A4,K:K)</f>
        <v/>
      </c>
      <c r="M4" s="7" t="n">
        <v>8.5</v>
      </c>
      <c r="N4" s="8" t="n">
        <v>0.09</v>
      </c>
      <c r="O4" s="6">
        <f>M4*(1+N4)</f>
        <v/>
      </c>
      <c r="P4" s="6">
        <f>M4-L4</f>
        <v/>
      </c>
      <c r="Q4" s="9">
        <f>IFERROR(P4/M4,0)</f>
        <v/>
      </c>
      <c r="R4" s="9">
        <f>IFERROR(L4/M4,0)</f>
        <v/>
      </c>
      <c r="S4" s="6">
        <f>IF(R4&gt;0.35,M4*1.1,M4)</f>
        <v/>
      </c>
    </row>
    <row r="5">
      <c r="A5" s="10" t="inlineStr">
        <is>
          <t>R01</t>
        </is>
      </c>
      <c r="B5" s="10" t="inlineStr">
        <is>
          <t>Caprese salade</t>
        </is>
      </c>
      <c r="C5" s="10" t="inlineStr">
        <is>
          <t>Salades</t>
        </is>
      </c>
      <c r="D5" s="10" t="inlineStr">
        <is>
          <t>Restaurant</t>
        </is>
      </c>
      <c r="E5" s="10" t="inlineStr">
        <is>
          <t>1 bord</t>
        </is>
      </c>
      <c r="F5" s="10" t="inlineStr">
        <is>
          <t>Mozzarella</t>
        </is>
      </c>
      <c r="G5" s="10">
        <f>IFERROR(VLOOKUP(F5,'Ingrediënten'!$B$4:$G$13,2,FALSE),"")</f>
        <v/>
      </c>
      <c r="H5" s="5" t="n">
        <v>0.1</v>
      </c>
      <c r="I5" s="10">
        <f>IFERROR(VLOOKUP(F5,'Ingrediënten'!$B$4:$G$13,4,FALSE),"")</f>
        <v/>
      </c>
      <c r="J5" s="11">
        <f>IFERROR(VLOOKUP(F5,'Ingrediënten'!$B$4:$G$13,5,FALSE),0)</f>
        <v/>
      </c>
      <c r="K5" s="10">
        <f>H5*J5</f>
        <v/>
      </c>
      <c r="L5" s="11">
        <f>SUMIF(A:A,A5,K:K)</f>
        <v/>
      </c>
      <c r="M5" s="7" t="n">
        <v>8.5</v>
      </c>
      <c r="N5" s="8" t="n">
        <v>0.09</v>
      </c>
      <c r="O5" s="11">
        <f>M5*(1+N5)</f>
        <v/>
      </c>
      <c r="P5" s="11">
        <f>M5-L5</f>
        <v/>
      </c>
      <c r="Q5" s="12">
        <f>IFERROR(P5/M5,0)</f>
        <v/>
      </c>
      <c r="R5" s="12">
        <f>IFERROR(L5/M5,0)</f>
        <v/>
      </c>
      <c r="S5" s="11">
        <f>IF(R5&gt;0.35,M5*1.1,M5)</f>
        <v/>
      </c>
    </row>
    <row r="6">
      <c r="A6" s="4" t="inlineStr">
        <is>
          <t>R02</t>
        </is>
      </c>
      <c r="B6" s="4" t="inlineStr">
        <is>
          <t>Ciabatta pesto</t>
        </is>
      </c>
      <c r="C6" s="4" t="inlineStr">
        <is>
          <t>Broodjes</t>
        </is>
      </c>
      <c r="D6" s="4" t="inlineStr">
        <is>
          <t>Lunchroom</t>
        </is>
      </c>
      <c r="E6" s="4" t="inlineStr">
        <is>
          <t>1 stuk</t>
        </is>
      </c>
      <c r="F6" s="4" t="inlineStr">
        <is>
          <t>Ciabatta</t>
        </is>
      </c>
      <c r="G6" s="4">
        <f>IFERROR(VLOOKUP(F6,'Ingrediënten'!$B$4:$G$13,2,FALSE),"")</f>
        <v/>
      </c>
      <c r="H6" s="5" t="n">
        <v>1</v>
      </c>
      <c r="I6" s="4">
        <f>IFERROR(VLOOKUP(F6,'Ingrediënten'!$B$4:$G$13,4,FALSE),"")</f>
        <v/>
      </c>
      <c r="J6" s="6">
        <f>IFERROR(VLOOKUP(F6,'Ingrediënten'!$B$4:$G$13,5,FALSE),0)</f>
        <v/>
      </c>
      <c r="K6" s="4">
        <f>H6*J6</f>
        <v/>
      </c>
      <c r="L6" s="6">
        <f>SUMIF(A:A,A6,K:K)</f>
        <v/>
      </c>
      <c r="M6" s="7" t="n">
        <v>5.5</v>
      </c>
      <c r="N6" s="8" t="n">
        <v>0.09</v>
      </c>
      <c r="O6" s="6">
        <f>M6*(1+N6)</f>
        <v/>
      </c>
      <c r="P6" s="6">
        <f>M6-L6</f>
        <v/>
      </c>
      <c r="Q6" s="9">
        <f>IFERROR(P6/M6,0)</f>
        <v/>
      </c>
      <c r="R6" s="9">
        <f>IFERROR(L6/M6,0)</f>
        <v/>
      </c>
      <c r="S6" s="6">
        <f>IF(R6&gt;0.35,M6*1.1,M6)</f>
        <v/>
      </c>
    </row>
    <row r="7">
      <c r="A7" s="10" t="inlineStr">
        <is>
          <t>R02</t>
        </is>
      </c>
      <c r="B7" s="10" t="inlineStr">
        <is>
          <t>Ciabatta pesto</t>
        </is>
      </c>
      <c r="C7" s="10" t="inlineStr">
        <is>
          <t>Broodjes</t>
        </is>
      </c>
      <c r="D7" s="10" t="inlineStr">
        <is>
          <t>Lunchroom</t>
        </is>
      </c>
      <c r="E7" s="10" t="inlineStr">
        <is>
          <t>1 stuk</t>
        </is>
      </c>
      <c r="F7" s="10" t="inlineStr">
        <is>
          <t>Pesto</t>
        </is>
      </c>
      <c r="G7" s="10">
        <f>IFERROR(VLOOKUP(F7,'Ingrediënten'!$B$4:$G$13,2,FALSE),"")</f>
        <v/>
      </c>
      <c r="H7" s="5" t="n">
        <v>0.03</v>
      </c>
      <c r="I7" s="10">
        <f>IFERROR(VLOOKUP(F7,'Ingrediënten'!$B$4:$G$13,4,FALSE),"")</f>
        <v/>
      </c>
      <c r="J7" s="11">
        <f>IFERROR(VLOOKUP(F7,'Ingrediënten'!$B$4:$G$13,5,FALSE),0)</f>
        <v/>
      </c>
      <c r="K7" s="10">
        <f>H7*J7</f>
        <v/>
      </c>
      <c r="L7" s="11">
        <f>SUMIF(A:A,A7,K:K)</f>
        <v/>
      </c>
      <c r="M7" s="7" t="n">
        <v>5.5</v>
      </c>
      <c r="N7" s="8" t="n">
        <v>0.09</v>
      </c>
      <c r="O7" s="11">
        <f>M7*(1+N7)</f>
        <v/>
      </c>
      <c r="P7" s="11">
        <f>M7-L7</f>
        <v/>
      </c>
      <c r="Q7" s="12">
        <f>IFERROR(P7/M7,0)</f>
        <v/>
      </c>
      <c r="R7" s="12">
        <f>IFERROR(L7/M7,0)</f>
        <v/>
      </c>
      <c r="S7" s="11">
        <f>IF(R7&gt;0.35,M7*1.1,M7)</f>
        <v/>
      </c>
    </row>
    <row r="8">
      <c r="A8" s="4" t="inlineStr">
        <is>
          <t>R03</t>
        </is>
      </c>
      <c r="B8" s="4" t="inlineStr">
        <is>
          <t>Hamburger klassiek</t>
        </is>
      </c>
      <c r="C8" s="4" t="inlineStr">
        <is>
          <t>Hoofdgerecht</t>
        </is>
      </c>
      <c r="D8" s="4" t="inlineStr">
        <is>
          <t>Restaurant</t>
        </is>
      </c>
      <c r="E8" s="4" t="inlineStr">
        <is>
          <t>1 portie</t>
        </is>
      </c>
      <c r="F8" s="4" t="inlineStr">
        <is>
          <t>Rundvlees</t>
        </is>
      </c>
      <c r="G8" s="4">
        <f>IFERROR(VLOOKUP(F8,'Ingrediënten'!$B$4:$G$13,2,FALSE),"")</f>
        <v/>
      </c>
      <c r="H8" s="5" t="n">
        <v>0.18</v>
      </c>
      <c r="I8" s="4">
        <f>IFERROR(VLOOKUP(F8,'Ingrediënten'!$B$4:$G$13,4,FALSE),"")</f>
        <v/>
      </c>
      <c r="J8" s="6">
        <f>IFERROR(VLOOKUP(F8,'Ingrediënten'!$B$4:$G$13,5,FALSE),0)</f>
        <v/>
      </c>
      <c r="K8" s="4">
        <f>H8*J8</f>
        <v/>
      </c>
      <c r="L8" s="6">
        <f>SUMIF(A:A,A8,K:K)</f>
        <v/>
      </c>
      <c r="M8" s="7" t="n">
        <v>12.5</v>
      </c>
      <c r="N8" s="8" t="n">
        <v>0.09</v>
      </c>
      <c r="O8" s="6">
        <f>M8*(1+N8)</f>
        <v/>
      </c>
      <c r="P8" s="6">
        <f>M8-L8</f>
        <v/>
      </c>
      <c r="Q8" s="9">
        <f>IFERROR(P8/M8,0)</f>
        <v/>
      </c>
      <c r="R8" s="9">
        <f>IFERROR(L8/M8,0)</f>
        <v/>
      </c>
      <c r="S8" s="6">
        <f>IF(R8&gt;0.35,M8*1.1,M8)</f>
        <v/>
      </c>
    </row>
    <row r="9">
      <c r="A9" s="10" t="inlineStr">
        <is>
          <t>R03</t>
        </is>
      </c>
      <c r="B9" s="10" t="inlineStr">
        <is>
          <t>Hamburger klassiek</t>
        </is>
      </c>
      <c r="C9" s="10" t="inlineStr">
        <is>
          <t>Hoofdgerecht</t>
        </is>
      </c>
      <c r="D9" s="10" t="inlineStr">
        <is>
          <t>Restaurant</t>
        </is>
      </c>
      <c r="E9" s="10" t="inlineStr">
        <is>
          <t>1 portie</t>
        </is>
      </c>
      <c r="F9" s="10" t="inlineStr">
        <is>
          <t>Sla mix</t>
        </is>
      </c>
      <c r="G9" s="10">
        <f>IFERROR(VLOOKUP(F9,'Ingrediënten'!$B$4:$G$13,2,FALSE),"")</f>
        <v/>
      </c>
      <c r="H9" s="5" t="n">
        <v>0.03</v>
      </c>
      <c r="I9" s="10">
        <f>IFERROR(VLOOKUP(F9,'Ingrediënten'!$B$4:$G$13,4,FALSE),"")</f>
        <v/>
      </c>
      <c r="J9" s="11">
        <f>IFERROR(VLOOKUP(F9,'Ingrediënten'!$B$4:$G$13,5,FALSE),0)</f>
        <v/>
      </c>
      <c r="K9" s="10">
        <f>H9*J9</f>
        <v/>
      </c>
      <c r="L9" s="11">
        <f>SUMIF(A:A,A9,K:K)</f>
        <v/>
      </c>
      <c r="M9" s="7" t="n">
        <v>12.5</v>
      </c>
      <c r="N9" s="8" t="n">
        <v>0.09</v>
      </c>
      <c r="O9" s="11">
        <f>M9*(1+N9)</f>
        <v/>
      </c>
      <c r="P9" s="11">
        <f>M9-L9</f>
        <v/>
      </c>
      <c r="Q9" s="12">
        <f>IFERROR(P9/M9,0)</f>
        <v/>
      </c>
      <c r="R9" s="12">
        <f>IFERROR(L9/M9,0)</f>
        <v/>
      </c>
      <c r="S9" s="11">
        <f>IF(R9&gt;0.35,M9*1.1,M9)</f>
        <v/>
      </c>
    </row>
    <row r="10">
      <c r="A10" s="4" t="inlineStr">
        <is>
          <t>R04</t>
        </is>
      </c>
      <c r="B10" s="4" t="inlineStr">
        <is>
          <t>Caesar wrap</t>
        </is>
      </c>
      <c r="C10" s="4" t="inlineStr">
        <is>
          <t>Lunch</t>
        </is>
      </c>
      <c r="D10" s="4" t="inlineStr">
        <is>
          <t>Lunchroom</t>
        </is>
      </c>
      <c r="E10" s="4" t="inlineStr">
        <is>
          <t>1 stuk</t>
        </is>
      </c>
      <c r="F10" s="4" t="inlineStr">
        <is>
          <t>Kipfilet</t>
        </is>
      </c>
      <c r="G10" s="4">
        <f>IFERROR(VLOOKUP(F10,'Ingrediënten'!$B$4:$G$13,2,FALSE),"")</f>
        <v/>
      </c>
      <c r="H10" s="5" t="n">
        <v>0.12</v>
      </c>
      <c r="I10" s="4">
        <f>IFERROR(VLOOKUP(F10,'Ingrediënten'!$B$4:$G$13,4,FALSE),"")</f>
        <v/>
      </c>
      <c r="J10" s="6">
        <f>IFERROR(VLOOKUP(F10,'Ingrediënten'!$B$4:$G$13,5,FALSE),0)</f>
        <v/>
      </c>
      <c r="K10" s="4">
        <f>H10*J10</f>
        <v/>
      </c>
      <c r="L10" s="6">
        <f>SUMIF(A:A,A10,K:K)</f>
        <v/>
      </c>
      <c r="M10" s="7" t="n">
        <v>9</v>
      </c>
      <c r="N10" s="8" t="n">
        <v>0.09</v>
      </c>
      <c r="O10" s="6">
        <f>M10*(1+N10)</f>
        <v/>
      </c>
      <c r="P10" s="6">
        <f>M10-L10</f>
        <v/>
      </c>
      <c r="Q10" s="9">
        <f>IFERROR(P10/M10,0)</f>
        <v/>
      </c>
      <c r="R10" s="9">
        <f>IFERROR(L10/M10,0)</f>
        <v/>
      </c>
      <c r="S10" s="6">
        <f>IF(R10&gt;0.35,M10*1.1,M10)</f>
        <v/>
      </c>
    </row>
    <row r="11">
      <c r="A11" s="10" t="inlineStr">
        <is>
          <t>R04</t>
        </is>
      </c>
      <c r="B11" s="10" t="inlineStr">
        <is>
          <t>Caesar wrap</t>
        </is>
      </c>
      <c r="C11" s="10" t="inlineStr">
        <is>
          <t>Lunch</t>
        </is>
      </c>
      <c r="D11" s="10" t="inlineStr">
        <is>
          <t>Lunchroom</t>
        </is>
      </c>
      <c r="E11" s="10" t="inlineStr">
        <is>
          <t>1 stuk</t>
        </is>
      </c>
      <c r="F11" s="10" t="inlineStr">
        <is>
          <t>Parmezaanse kaas</t>
        </is>
      </c>
      <c r="G11" s="10">
        <f>IFERROR(VLOOKUP(F11,'Ingrediënten'!$B$4:$G$13,2,FALSE),"")</f>
        <v/>
      </c>
      <c r="H11" s="5" t="n">
        <v>0.02</v>
      </c>
      <c r="I11" s="10">
        <f>IFERROR(VLOOKUP(F11,'Ingrediënten'!$B$4:$G$13,4,FALSE),"")</f>
        <v/>
      </c>
      <c r="J11" s="11">
        <f>IFERROR(VLOOKUP(F11,'Ingrediënten'!$B$4:$G$13,5,FALSE),0)</f>
        <v/>
      </c>
      <c r="K11" s="10">
        <f>H11*J11</f>
        <v/>
      </c>
      <c r="L11" s="11">
        <f>SUMIF(A:A,A11,K:K)</f>
        <v/>
      </c>
      <c r="M11" s="7" t="n">
        <v>9</v>
      </c>
      <c r="N11" s="8" t="n">
        <v>0.09</v>
      </c>
      <c r="O11" s="11">
        <f>M11*(1+N11)</f>
        <v/>
      </c>
      <c r="P11" s="11">
        <f>M11-L11</f>
        <v/>
      </c>
      <c r="Q11" s="12">
        <f>IFERROR(P11/M11,0)</f>
        <v/>
      </c>
      <c r="R11" s="12">
        <f>IFERROR(L11/M11,0)</f>
        <v/>
      </c>
      <c r="S11" s="11">
        <f>IF(R11&gt;0.35,M11*1.1,M11)</f>
        <v/>
      </c>
    </row>
    <row r="12">
      <c r="A12" s="4" t="inlineStr">
        <is>
          <t>R05</t>
        </is>
      </c>
      <c r="B12" s="4" t="inlineStr">
        <is>
          <t>Latte macchiato</t>
        </is>
      </c>
      <c r="C12" s="4" t="inlineStr">
        <is>
          <t>Koffie</t>
        </is>
      </c>
      <c r="D12" s="4" t="inlineStr">
        <is>
          <t>Café</t>
        </is>
      </c>
      <c r="E12" s="4" t="inlineStr">
        <is>
          <t>1 glas</t>
        </is>
      </c>
      <c r="F12" s="4" t="inlineStr">
        <is>
          <t>Latte melk</t>
        </is>
      </c>
      <c r="G12" s="4">
        <f>IFERROR(VLOOKUP(F12,'Ingrediënten'!$B$4:$G$13,2,FALSE),"")</f>
        <v/>
      </c>
      <c r="H12" s="5" t="n">
        <v>0.2</v>
      </c>
      <c r="I12" s="4">
        <f>IFERROR(VLOOKUP(F12,'Ingrediënten'!$B$4:$G$13,4,FALSE),"")</f>
        <v/>
      </c>
      <c r="J12" s="6">
        <f>IFERROR(VLOOKUP(F12,'Ingrediënten'!$B$4:$G$13,5,FALSE),0)</f>
        <v/>
      </c>
      <c r="K12" s="4">
        <f>H12*J12</f>
        <v/>
      </c>
      <c r="L12" s="6">
        <f>SUMIF(A:A,A12,K:K)</f>
        <v/>
      </c>
      <c r="M12" s="7" t="n">
        <v>3.5</v>
      </c>
      <c r="N12" s="8" t="n">
        <v>0.09</v>
      </c>
      <c r="O12" s="6">
        <f>M12*(1+N12)</f>
        <v/>
      </c>
      <c r="P12" s="6">
        <f>M12-L12</f>
        <v/>
      </c>
      <c r="Q12" s="9">
        <f>IFERROR(P12/M12,0)</f>
        <v/>
      </c>
      <c r="R12" s="9">
        <f>IFERROR(L12/M12,0)</f>
        <v/>
      </c>
      <c r="S12" s="6">
        <f>IF(R12&gt;0.35,M12*1.1,M12)</f>
        <v/>
      </c>
    </row>
    <row r="13">
      <c r="A13" s="10" t="inlineStr">
        <is>
          <t>R05</t>
        </is>
      </c>
      <c r="B13" s="10" t="inlineStr">
        <is>
          <t>Latte macchiato</t>
        </is>
      </c>
      <c r="C13" s="10" t="inlineStr">
        <is>
          <t>Koffie</t>
        </is>
      </c>
      <c r="D13" s="10" t="inlineStr">
        <is>
          <t>Café</t>
        </is>
      </c>
      <c r="E13" s="10" t="inlineStr">
        <is>
          <t>1 glas</t>
        </is>
      </c>
      <c r="F13" s="10" t="inlineStr">
        <is>
          <t>Espresso bonen</t>
        </is>
      </c>
      <c r="G13" s="10">
        <f>IFERROR(VLOOKUP(F13,'Ingrediënten'!$B$4:$G$13,2,FALSE),"")</f>
        <v/>
      </c>
      <c r="H13" s="5" t="n">
        <v>0.018</v>
      </c>
      <c r="I13" s="10">
        <f>IFERROR(VLOOKUP(F13,'Ingrediënten'!$B$4:$G$13,4,FALSE),"")</f>
        <v/>
      </c>
      <c r="J13" s="11">
        <f>IFERROR(VLOOKUP(F13,'Ingrediënten'!$B$4:$G$13,5,FALSE),0)</f>
        <v/>
      </c>
      <c r="K13" s="10">
        <f>H13*J13</f>
        <v/>
      </c>
      <c r="L13" s="11">
        <f>SUMIF(A:A,A13,K:K)</f>
        <v/>
      </c>
      <c r="M13" s="7" t="n">
        <v>3.5</v>
      </c>
      <c r="N13" s="8" t="n">
        <v>0.09</v>
      </c>
      <c r="O13" s="11">
        <f>M13*(1+N13)</f>
        <v/>
      </c>
      <c r="P13" s="11">
        <f>M13-L13</f>
        <v/>
      </c>
      <c r="Q13" s="12">
        <f>IFERROR(P13/M13,0)</f>
        <v/>
      </c>
      <c r="R13" s="12">
        <f>IFERROR(L13/M13,0)</f>
        <v/>
      </c>
      <c r="S13" s="11">
        <f>IF(R13&gt;0.35,M13*1.1,M13)</f>
        <v/>
      </c>
    </row>
    <row r="14">
      <c r="A14" s="4" t="inlineStr">
        <is>
          <t>R06</t>
        </is>
      </c>
      <c r="B14" s="4" t="inlineStr">
        <is>
          <t>Cappuccino</t>
        </is>
      </c>
      <c r="C14" s="4" t="inlineStr">
        <is>
          <t>Koffie</t>
        </is>
      </c>
      <c r="D14" s="4" t="inlineStr">
        <is>
          <t>Café</t>
        </is>
      </c>
      <c r="E14" s="4" t="inlineStr">
        <is>
          <t>1 kop</t>
        </is>
      </c>
      <c r="F14" s="4" t="inlineStr">
        <is>
          <t>Latte melk</t>
        </is>
      </c>
      <c r="G14" s="4">
        <f>IFERROR(VLOOKUP(F14,'Ingrediënten'!$B$4:$G$13,2,FALSE),"")</f>
        <v/>
      </c>
      <c r="H14" s="5" t="n">
        <v>0.12</v>
      </c>
      <c r="I14" s="4">
        <f>IFERROR(VLOOKUP(F14,'Ingrediënten'!$B$4:$G$13,4,FALSE),"")</f>
        <v/>
      </c>
      <c r="J14" s="6">
        <f>IFERROR(VLOOKUP(F14,'Ingrediënten'!$B$4:$G$13,5,FALSE),0)</f>
        <v/>
      </c>
      <c r="K14" s="4">
        <f>H14*J14</f>
        <v/>
      </c>
      <c r="L14" s="6">
        <f>SUMIF(A:A,A14,K:K)</f>
        <v/>
      </c>
      <c r="M14" s="7" t="n">
        <v>3.2</v>
      </c>
      <c r="N14" s="8" t="n">
        <v>0.09</v>
      </c>
      <c r="O14" s="6">
        <f>M14*(1+N14)</f>
        <v/>
      </c>
      <c r="P14" s="6">
        <f>M14-L14</f>
        <v/>
      </c>
      <c r="Q14" s="9">
        <f>IFERROR(P14/M14,0)</f>
        <v/>
      </c>
      <c r="R14" s="9">
        <f>IFERROR(L14/M14,0)</f>
        <v/>
      </c>
      <c r="S14" s="6">
        <f>IF(R14&gt;0.35,M14*1.1,M14)</f>
        <v/>
      </c>
    </row>
    <row r="15">
      <c r="A15" s="10" t="inlineStr">
        <is>
          <t>R06</t>
        </is>
      </c>
      <c r="B15" s="10" t="inlineStr">
        <is>
          <t>Cappuccino</t>
        </is>
      </c>
      <c r="C15" s="10" t="inlineStr">
        <is>
          <t>Koffie</t>
        </is>
      </c>
      <c r="D15" s="10" t="inlineStr">
        <is>
          <t>Café</t>
        </is>
      </c>
      <c r="E15" s="10" t="inlineStr">
        <is>
          <t>1 kop</t>
        </is>
      </c>
      <c r="F15" s="10" t="inlineStr">
        <is>
          <t>Espresso bonen</t>
        </is>
      </c>
      <c r="G15" s="10">
        <f>IFERROR(VLOOKUP(F15,'Ingrediënten'!$B$4:$G$13,2,FALSE),"")</f>
        <v/>
      </c>
      <c r="H15" s="5" t="n">
        <v>0.016</v>
      </c>
      <c r="I15" s="10">
        <f>IFERROR(VLOOKUP(F15,'Ingrediënten'!$B$4:$G$13,4,FALSE),"")</f>
        <v/>
      </c>
      <c r="J15" s="11">
        <f>IFERROR(VLOOKUP(F15,'Ingrediënten'!$B$4:$G$13,5,FALSE),0)</f>
        <v/>
      </c>
      <c r="K15" s="10">
        <f>H15*J15</f>
        <v/>
      </c>
      <c r="L15" s="11">
        <f>SUMIF(A:A,A15,K:K)</f>
        <v/>
      </c>
      <c r="M15" s="7" t="n">
        <v>3.2</v>
      </c>
      <c r="N15" s="8" t="n">
        <v>0.09</v>
      </c>
      <c r="O15" s="11">
        <f>M15*(1+N15)</f>
        <v/>
      </c>
      <c r="P15" s="11">
        <f>M15-L15</f>
        <v/>
      </c>
      <c r="Q15" s="12">
        <f>IFERROR(P15/M15,0)</f>
        <v/>
      </c>
      <c r="R15" s="12">
        <f>IFERROR(L15/M15,0)</f>
        <v/>
      </c>
      <c r="S15" s="11">
        <f>IF(R15&gt;0.35,M15*1.1,M15)</f>
        <v/>
      </c>
    </row>
    <row r="16">
      <c r="A16" s="4" t="inlineStr">
        <is>
          <t>R07</t>
        </is>
      </c>
      <c r="B16" s="4" t="inlineStr">
        <is>
          <t>Kipclub sandwich</t>
        </is>
      </c>
      <c r="C16" s="4" t="inlineStr">
        <is>
          <t>Lunch</t>
        </is>
      </c>
      <c r="D16" s="4" t="inlineStr">
        <is>
          <t>Lunchroom</t>
        </is>
      </c>
      <c r="E16" s="4" t="inlineStr">
        <is>
          <t>1 stuk</t>
        </is>
      </c>
      <c r="F16" s="4" t="inlineStr">
        <is>
          <t>Kipfilet</t>
        </is>
      </c>
      <c r="G16" s="4">
        <f>IFERROR(VLOOKUP(F16,'Ingrediënten'!$B$4:$G$13,2,FALSE),"")</f>
        <v/>
      </c>
      <c r="H16" s="5" t="n">
        <v>0.15</v>
      </c>
      <c r="I16" s="4">
        <f>IFERROR(VLOOKUP(F16,'Ingrediënten'!$B$4:$G$13,4,FALSE),"")</f>
        <v/>
      </c>
      <c r="J16" s="6">
        <f>IFERROR(VLOOKUP(F16,'Ingrediënten'!$B$4:$G$13,5,FALSE),0)</f>
        <v/>
      </c>
      <c r="K16" s="4">
        <f>H16*J16</f>
        <v/>
      </c>
      <c r="L16" s="6">
        <f>SUMIF(A:A,A16,K:K)</f>
        <v/>
      </c>
      <c r="M16" s="7" t="n">
        <v>8.75</v>
      </c>
      <c r="N16" s="8" t="n">
        <v>0.09</v>
      </c>
      <c r="O16" s="6">
        <f>M16*(1+N16)</f>
        <v/>
      </c>
      <c r="P16" s="6">
        <f>M16-L16</f>
        <v/>
      </c>
      <c r="Q16" s="9">
        <f>IFERROR(P16/M16,0)</f>
        <v/>
      </c>
      <c r="R16" s="9">
        <f>IFERROR(L16/M16,0)</f>
        <v/>
      </c>
      <c r="S16" s="6">
        <f>IF(R16&gt;0.35,M16*1.1,M16)</f>
        <v/>
      </c>
    </row>
    <row r="17">
      <c r="A17" s="10" t="inlineStr">
        <is>
          <t>R07</t>
        </is>
      </c>
      <c r="B17" s="10" t="inlineStr">
        <is>
          <t>Kipclub sandwich</t>
        </is>
      </c>
      <c r="C17" s="10" t="inlineStr">
        <is>
          <t>Lunch</t>
        </is>
      </c>
      <c r="D17" s="10" t="inlineStr">
        <is>
          <t>Lunchroom</t>
        </is>
      </c>
      <c r="E17" s="10" t="inlineStr">
        <is>
          <t>1 stuk</t>
        </is>
      </c>
      <c r="F17" s="10" t="inlineStr">
        <is>
          <t>Ciabatta</t>
        </is>
      </c>
      <c r="G17" s="10">
        <f>IFERROR(VLOOKUP(F17,'Ingrediënten'!$B$4:$G$13,2,FALSE),"")</f>
        <v/>
      </c>
      <c r="H17" s="5" t="n">
        <v>2</v>
      </c>
      <c r="I17" s="10">
        <f>IFERROR(VLOOKUP(F17,'Ingrediënten'!$B$4:$G$13,4,FALSE),"")</f>
        <v/>
      </c>
      <c r="J17" s="11">
        <f>IFERROR(VLOOKUP(F17,'Ingrediënten'!$B$4:$G$13,5,FALSE),0)</f>
        <v/>
      </c>
      <c r="K17" s="10">
        <f>H17*J17</f>
        <v/>
      </c>
      <c r="L17" s="11">
        <f>SUMIF(A:A,A17,K:K)</f>
        <v/>
      </c>
      <c r="M17" s="7" t="n">
        <v>8.75</v>
      </c>
      <c r="N17" s="8" t="n">
        <v>0.09</v>
      </c>
      <c r="O17" s="11">
        <f>M17*(1+N17)</f>
        <v/>
      </c>
      <c r="P17" s="11">
        <f>M17-L17</f>
        <v/>
      </c>
      <c r="Q17" s="12">
        <f>IFERROR(P17/M17,0)</f>
        <v/>
      </c>
      <c r="R17" s="12">
        <f>IFERROR(L17/M17,0)</f>
        <v/>
      </c>
      <c r="S17" s="11">
        <f>IF(R17&gt;0.35,M17*1.1,M17)</f>
        <v/>
      </c>
    </row>
    <row r="18">
      <c r="A18" s="4" t="inlineStr">
        <is>
          <t>R08</t>
        </is>
      </c>
      <c r="B18" s="4" t="inlineStr">
        <is>
          <t>Bruschetta tomaat</t>
        </is>
      </c>
      <c r="C18" s="4" t="inlineStr">
        <is>
          <t>Voorgerecht</t>
        </is>
      </c>
      <c r="D18" s="4" t="inlineStr">
        <is>
          <t>Restaurant</t>
        </is>
      </c>
      <c r="E18" s="4" t="inlineStr">
        <is>
          <t>1 bord</t>
        </is>
      </c>
      <c r="F18" s="4" t="inlineStr">
        <is>
          <t>Tomaat</t>
        </is>
      </c>
      <c r="G18" s="4">
        <f>IFERROR(VLOOKUP(F18,'Ingrediënten'!$B$4:$G$13,2,FALSE),"")</f>
        <v/>
      </c>
      <c r="H18" s="5" t="n">
        <v>0.12</v>
      </c>
      <c r="I18" s="4">
        <f>IFERROR(VLOOKUP(F18,'Ingrediënten'!$B$4:$G$13,4,FALSE),"")</f>
        <v/>
      </c>
      <c r="J18" s="6">
        <f>IFERROR(VLOOKUP(F18,'Ingrediënten'!$B$4:$G$13,5,FALSE),0)</f>
        <v/>
      </c>
      <c r="K18" s="4">
        <f>H18*J18</f>
        <v/>
      </c>
      <c r="L18" s="6">
        <f>SUMIF(A:A,A18,K:K)</f>
        <v/>
      </c>
      <c r="M18" s="7" t="n">
        <v>6.5</v>
      </c>
      <c r="N18" s="8" t="n">
        <v>0.09</v>
      </c>
      <c r="O18" s="6">
        <f>M18*(1+N18)</f>
        <v/>
      </c>
      <c r="P18" s="6">
        <f>M18-L18</f>
        <v/>
      </c>
      <c r="Q18" s="9">
        <f>IFERROR(P18/M18,0)</f>
        <v/>
      </c>
      <c r="R18" s="9">
        <f>IFERROR(L18/M18,0)</f>
        <v/>
      </c>
      <c r="S18" s="6">
        <f>IF(R18&gt;0.35,M18*1.1,M18)</f>
        <v/>
      </c>
    </row>
    <row r="19">
      <c r="A19" s="10" t="inlineStr">
        <is>
          <t>R08</t>
        </is>
      </c>
      <c r="B19" s="10" t="inlineStr">
        <is>
          <t>Bruschetta tomaat</t>
        </is>
      </c>
      <c r="C19" s="10" t="inlineStr">
        <is>
          <t>Voorgerecht</t>
        </is>
      </c>
      <c r="D19" s="10" t="inlineStr">
        <is>
          <t>Restaurant</t>
        </is>
      </c>
      <c r="E19" s="10" t="inlineStr">
        <is>
          <t>1 bord</t>
        </is>
      </c>
      <c r="F19" s="10" t="inlineStr">
        <is>
          <t>Ciabatta</t>
        </is>
      </c>
      <c r="G19" s="10">
        <f>IFERROR(VLOOKUP(F19,'Ingrediënten'!$B$4:$G$13,2,FALSE),"")</f>
        <v/>
      </c>
      <c r="H19" s="5" t="n">
        <v>1</v>
      </c>
      <c r="I19" s="10">
        <f>IFERROR(VLOOKUP(F19,'Ingrediënten'!$B$4:$G$13,4,FALSE),"")</f>
        <v/>
      </c>
      <c r="J19" s="11">
        <f>IFERROR(VLOOKUP(F19,'Ingrediënten'!$B$4:$G$13,5,FALSE),0)</f>
        <v/>
      </c>
      <c r="K19" s="10">
        <f>H19*J19</f>
        <v/>
      </c>
      <c r="L19" s="11">
        <f>SUMIF(A:A,A19,K:K)</f>
        <v/>
      </c>
      <c r="M19" s="7" t="n">
        <v>6.5</v>
      </c>
      <c r="N19" s="8" t="n">
        <v>0.09</v>
      </c>
      <c r="O19" s="11">
        <f>M19*(1+N19)</f>
        <v/>
      </c>
      <c r="P19" s="11">
        <f>M19-L19</f>
        <v/>
      </c>
      <c r="Q19" s="12">
        <f>IFERROR(P19/M19,0)</f>
        <v/>
      </c>
      <c r="R19" s="12">
        <f>IFERROR(L19/M19,0)</f>
        <v/>
      </c>
      <c r="S19" s="11">
        <f>IF(R19&gt;0.35,M19*1.1,M19)</f>
        <v/>
      </c>
    </row>
    <row r="20">
      <c r="A20" s="4" t="inlineStr">
        <is>
          <t>R09</t>
        </is>
      </c>
      <c r="B20" s="4" t="inlineStr">
        <is>
          <t>Pasta pesto</t>
        </is>
      </c>
      <c r="C20" s="4" t="inlineStr">
        <is>
          <t>Hoofdgerecht</t>
        </is>
      </c>
      <c r="D20" s="4" t="inlineStr">
        <is>
          <t>Restaurant</t>
        </is>
      </c>
      <c r="E20" s="4" t="inlineStr">
        <is>
          <t>1 portie</t>
        </is>
      </c>
      <c r="F20" s="4" t="inlineStr">
        <is>
          <t>Pesto</t>
        </is>
      </c>
      <c r="G20" s="4">
        <f>IFERROR(VLOOKUP(F20,'Ingrediënten'!$B$4:$G$13,2,FALSE),"")</f>
        <v/>
      </c>
      <c r="H20" s="5" t="n">
        <v>0.05</v>
      </c>
      <c r="I20" s="4">
        <f>IFERROR(VLOOKUP(F20,'Ingrediënten'!$B$4:$G$13,4,FALSE),"")</f>
        <v/>
      </c>
      <c r="J20" s="6">
        <f>IFERROR(VLOOKUP(F20,'Ingrediënten'!$B$4:$G$13,5,FALSE),0)</f>
        <v/>
      </c>
      <c r="K20" s="4">
        <f>H20*J20</f>
        <v/>
      </c>
      <c r="L20" s="6">
        <f>SUMIF(A:A,A20,K:K)</f>
        <v/>
      </c>
      <c r="M20" s="7" t="n">
        <v>11</v>
      </c>
      <c r="N20" s="8" t="n">
        <v>0.09</v>
      </c>
      <c r="O20" s="6">
        <f>M20*(1+N20)</f>
        <v/>
      </c>
      <c r="P20" s="6">
        <f>M20-L20</f>
        <v/>
      </c>
      <c r="Q20" s="9">
        <f>IFERROR(P20/M20,0)</f>
        <v/>
      </c>
      <c r="R20" s="9">
        <f>IFERROR(L20/M20,0)</f>
        <v/>
      </c>
      <c r="S20" s="6">
        <f>IF(R20&gt;0.35,M20*1.1,M20)</f>
        <v/>
      </c>
    </row>
    <row r="21">
      <c r="A21" s="10" t="inlineStr">
        <is>
          <t>R09</t>
        </is>
      </c>
      <c r="B21" s="10" t="inlineStr">
        <is>
          <t>Pasta pesto</t>
        </is>
      </c>
      <c r="C21" s="10" t="inlineStr">
        <is>
          <t>Hoofdgerecht</t>
        </is>
      </c>
      <c r="D21" s="10" t="inlineStr">
        <is>
          <t>Restaurant</t>
        </is>
      </c>
      <c r="E21" s="10" t="inlineStr">
        <is>
          <t>1 portie</t>
        </is>
      </c>
      <c r="F21" s="10" t="inlineStr">
        <is>
          <t>Parmezaanse kaas</t>
        </is>
      </c>
      <c r="G21" s="10">
        <f>IFERROR(VLOOKUP(F21,'Ingrediënten'!$B$4:$G$13,2,FALSE),"")</f>
        <v/>
      </c>
      <c r="H21" s="5" t="n">
        <v>0.03</v>
      </c>
      <c r="I21" s="10">
        <f>IFERROR(VLOOKUP(F21,'Ingrediënten'!$B$4:$G$13,4,FALSE),"")</f>
        <v/>
      </c>
      <c r="J21" s="11">
        <f>IFERROR(VLOOKUP(F21,'Ingrediënten'!$B$4:$G$13,5,FALSE),0)</f>
        <v/>
      </c>
      <c r="K21" s="10">
        <f>H21*J21</f>
        <v/>
      </c>
      <c r="L21" s="11">
        <f>SUMIF(A:A,A21,K:K)</f>
        <v/>
      </c>
      <c r="M21" s="7" t="n">
        <v>11</v>
      </c>
      <c r="N21" s="8" t="n">
        <v>0.09</v>
      </c>
      <c r="O21" s="11">
        <f>M21*(1+N21)</f>
        <v/>
      </c>
      <c r="P21" s="11">
        <f>M21-L21</f>
        <v/>
      </c>
      <c r="Q21" s="12">
        <f>IFERROR(P21/M21,0)</f>
        <v/>
      </c>
      <c r="R21" s="12">
        <f>IFERROR(L21/M21,0)</f>
        <v/>
      </c>
      <c r="S21" s="11">
        <f>IF(R21&gt;0.35,M21*1.1,M21)</f>
        <v/>
      </c>
    </row>
    <row r="22">
      <c r="A22" s="4" t="inlineStr">
        <is>
          <t>R10</t>
        </is>
      </c>
      <c r="B22" s="4" t="inlineStr">
        <is>
          <t>Runderburger deluxe</t>
        </is>
      </c>
      <c r="C22" s="4" t="inlineStr">
        <is>
          <t>Hoofdgerecht</t>
        </is>
      </c>
      <c r="D22" s="4" t="inlineStr">
        <is>
          <t>Restaurant</t>
        </is>
      </c>
      <c r="E22" s="4" t="inlineStr">
        <is>
          <t>1 portie</t>
        </is>
      </c>
      <c r="F22" s="4" t="inlineStr">
        <is>
          <t>Rundvlees</t>
        </is>
      </c>
      <c r="G22" s="4">
        <f>IFERROR(VLOOKUP(F22,'Ingrediënten'!$B$4:$G$13,2,FALSE),"")</f>
        <v/>
      </c>
      <c r="H22" s="5" t="n">
        <v>0.2</v>
      </c>
      <c r="I22" s="4">
        <f>IFERROR(VLOOKUP(F22,'Ingrediënten'!$B$4:$G$13,4,FALSE),"")</f>
        <v/>
      </c>
      <c r="J22" s="6">
        <f>IFERROR(VLOOKUP(F22,'Ingrediënten'!$B$4:$G$13,5,FALSE),0)</f>
        <v/>
      </c>
      <c r="K22" s="4">
        <f>H22*J22</f>
        <v/>
      </c>
      <c r="L22" s="6">
        <f>SUMIF(A:A,A22,K:K)</f>
        <v/>
      </c>
      <c r="M22" s="7" t="n">
        <v>14.5</v>
      </c>
      <c r="N22" s="8" t="n">
        <v>0.09</v>
      </c>
      <c r="O22" s="6">
        <f>M22*(1+N22)</f>
        <v/>
      </c>
      <c r="P22" s="6">
        <f>M22-L22</f>
        <v/>
      </c>
      <c r="Q22" s="9">
        <f>IFERROR(P22/M22,0)</f>
        <v/>
      </c>
      <c r="R22" s="9">
        <f>IFERROR(L22/M22,0)</f>
        <v/>
      </c>
      <c r="S22" s="6">
        <f>IF(R22&gt;0.35,M22*1.1,M22)</f>
        <v/>
      </c>
    </row>
    <row r="23">
      <c r="A23" s="10" t="inlineStr">
        <is>
          <t>R10</t>
        </is>
      </c>
      <c r="B23" s="10" t="inlineStr">
        <is>
          <t>Runderburger deluxe</t>
        </is>
      </c>
      <c r="C23" s="10" t="inlineStr">
        <is>
          <t>Hoofdgerecht</t>
        </is>
      </c>
      <c r="D23" s="10" t="inlineStr">
        <is>
          <t>Restaurant</t>
        </is>
      </c>
      <c r="E23" s="10" t="inlineStr">
        <is>
          <t>1 portie</t>
        </is>
      </c>
      <c r="F23" s="10" t="inlineStr">
        <is>
          <t>Parmezaanse kaas</t>
        </is>
      </c>
      <c r="G23" s="10">
        <f>IFERROR(VLOOKUP(F23,'Ingrediënten'!$B$4:$G$13,2,FALSE),"")</f>
        <v/>
      </c>
      <c r="H23" s="5" t="n">
        <v>0.03</v>
      </c>
      <c r="I23" s="10">
        <f>IFERROR(VLOOKUP(F23,'Ingrediënten'!$B$4:$G$13,4,FALSE),"")</f>
        <v/>
      </c>
      <c r="J23" s="11">
        <f>IFERROR(VLOOKUP(F23,'Ingrediënten'!$B$4:$G$13,5,FALSE),0)</f>
        <v/>
      </c>
      <c r="K23" s="10">
        <f>H23*J23</f>
        <v/>
      </c>
      <c r="L23" s="11">
        <f>SUMIF(A:A,A23,K:K)</f>
        <v/>
      </c>
      <c r="M23" s="7" t="n">
        <v>14.5</v>
      </c>
      <c r="N23" s="8" t="n">
        <v>0.09</v>
      </c>
      <c r="O23" s="11">
        <f>M23*(1+N23)</f>
        <v/>
      </c>
      <c r="P23" s="11">
        <f>M23-L23</f>
        <v/>
      </c>
      <c r="Q23" s="12">
        <f>IFERROR(P23/M23,0)</f>
        <v/>
      </c>
      <c r="R23" s="12">
        <f>IFERROR(L23/M23,0)</f>
        <v/>
      </c>
      <c r="S23" s="11">
        <f>IF(R23&gt;0.35,M23*1.1,M23)</f>
        <v/>
      </c>
    </row>
  </sheetData>
  <mergeCells count="1">
    <mergeCell ref="A1:S1"/>
  </mergeCells>
  <conditionalFormatting sqref="R4:R23">
    <cfRule type="expression" priority="1" dxfId="0" stopIfTrue="1">
      <formula>R4&gt;0.35</formula>
    </cfRule>
    <cfRule type="expression" priority="2" dxfId="1" stopIfTrue="1">
      <formula>R4&lt;=0.35</formula>
    </cfRule>
  </conditionalFormatting>
  <conditionalFormatting sqref="P4:P23">
    <cfRule type="expression" priority="3" dxfId="0" stopIfTrue="1">
      <formula>P4&lt;0</formula>
    </cfRule>
    <cfRule type="expression" priority="4" dxfId="1" stopIfTrue="1">
      <formula>P4&gt;=0</formula>
    </cfRule>
  </conditionalFormatting>
  <dataValidations count="1">
    <dataValidation sqref="N4:N23" showErrorMessage="1" showInputMessage="1" allowBlank="1" type="list">
      <formula1>"0.09,0.21"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2" customWidth="1" min="3" max="3"/>
    <col width="24" customWidth="1" min="4" max="4"/>
    <col width="9" customWidth="1" min="5" max="5"/>
    <col width="16" customWidth="1" min="6" max="6"/>
    <col width="10" customWidth="1" min="7" max="7"/>
    <col width="10" customWidth="1" min="8" max="8"/>
    <col width="14" customWidth="1" min="9" max="9"/>
    <col width="16" customWidth="1" min="10" max="10"/>
    <col width="16" customWidth="1" min="11" max="11"/>
    <col width="14" customWidth="1" min="12" max="12"/>
    <col width="16" customWidth="1" min="13" max="13"/>
  </cols>
  <sheetData>
    <row r="1" ht="26" customHeight="1">
      <c r="A1" s="1" t="inlineStr">
        <is>
          <t>Ingrediënten - Stamgegevens</t>
        </is>
      </c>
    </row>
    <row r="2">
      <c r="A2" s="2" t="inlineStr">
        <is>
          <t>Pas inkoopprijzen en voorraad hier aan; wordt automatisch verwerkt in Recepturen.</t>
        </is>
      </c>
    </row>
    <row r="3" ht="32" customHeight="1">
      <c r="A3" s="3" t="inlineStr">
        <is>
          <t>Ingrediënt-ID</t>
        </is>
      </c>
      <c r="B3" s="3" t="inlineStr">
        <is>
          <t>Ingrediëntnaam</t>
        </is>
      </c>
      <c r="C3" s="3" t="inlineStr">
        <is>
          <t>Categorie</t>
        </is>
      </c>
      <c r="D3" s="3" t="inlineStr">
        <is>
          <t>Leverancier</t>
        </is>
      </c>
      <c r="E3" s="3" t="inlineStr">
        <is>
          <t>Eenheid</t>
        </is>
      </c>
      <c r="F3" s="3" t="inlineStr">
        <is>
          <t>Inkoopprijs per eenheid</t>
        </is>
      </c>
      <c r="G3" s="3" t="inlineStr">
        <is>
          <t>Btw-tarief</t>
        </is>
      </c>
      <c r="H3" s="3" t="inlineStr">
        <is>
          <t>Voorraad</t>
        </is>
      </c>
      <c r="I3" s="3" t="inlineStr">
        <is>
          <t>Minimale voorraad</t>
        </is>
      </c>
      <c r="J3" s="3" t="inlineStr">
        <is>
          <t>Houdbaarheidsdagen</t>
        </is>
      </c>
      <c r="K3" s="3" t="inlineStr">
        <is>
          <t>Laatste inkoopdatum</t>
        </is>
      </c>
      <c r="L3" s="3" t="inlineStr">
        <is>
          <t>Actief? (Ja/Nee)</t>
        </is>
      </c>
      <c r="M3" s="3" t="inlineStr">
        <is>
          <t>Voorraadwaarschuwing</t>
        </is>
      </c>
    </row>
    <row r="4">
      <c r="A4" s="4" t="inlineStr">
        <is>
          <t>I01</t>
        </is>
      </c>
      <c r="B4" s="4" t="inlineStr">
        <is>
          <t>Tomaat</t>
        </is>
      </c>
      <c r="C4" s="4" t="inlineStr">
        <is>
          <t>Groente</t>
        </is>
      </c>
      <c r="D4" s="4" t="inlineStr">
        <is>
          <t>Groenteboer Jansen BV</t>
        </is>
      </c>
      <c r="E4" s="4" t="inlineStr">
        <is>
          <t>kg</t>
        </is>
      </c>
      <c r="F4" s="7" t="n">
        <v>2.3</v>
      </c>
      <c r="G4" s="9" t="n">
        <v>0.09</v>
      </c>
      <c r="H4" s="5" t="n">
        <v>15</v>
      </c>
      <c r="I4" s="5" t="n">
        <v>5</v>
      </c>
      <c r="J4" s="4" t="n">
        <v>7</v>
      </c>
      <c r="K4" s="25" t="n">
        <v>46193</v>
      </c>
      <c r="L4" s="4">
        <f>IF(H4&gt;0,"Ja","Nee")</f>
        <v/>
      </c>
      <c r="M4" s="4">
        <f>IF(H4&lt;I4,"Bijbestellen","OK")</f>
        <v/>
      </c>
    </row>
    <row r="5">
      <c r="A5" s="10" t="inlineStr">
        <is>
          <t>I02</t>
        </is>
      </c>
      <c r="B5" s="10" t="inlineStr">
        <is>
          <t>Mozzarella</t>
        </is>
      </c>
      <c r="C5" s="10" t="inlineStr">
        <is>
          <t>Zuivel</t>
        </is>
      </c>
      <c r="D5" s="10" t="inlineStr">
        <is>
          <t>Kaashandel De Boer</t>
        </is>
      </c>
      <c r="E5" s="10" t="inlineStr">
        <is>
          <t>kg</t>
        </is>
      </c>
      <c r="F5" s="7" t="n">
        <v>8.5</v>
      </c>
      <c r="G5" s="12" t="n">
        <v>0.09</v>
      </c>
      <c r="H5" s="5" t="n">
        <v>8</v>
      </c>
      <c r="I5" s="5" t="n">
        <v>3</v>
      </c>
      <c r="J5" s="10" t="n">
        <v>14</v>
      </c>
      <c r="K5" s="26" t="n">
        <v>46198</v>
      </c>
      <c r="L5" s="10">
        <f>IF(H5&gt;0,"Ja","Nee")</f>
        <v/>
      </c>
      <c r="M5" s="10">
        <f>IF(H5&lt;I5,"Bijbestellen","OK")</f>
        <v/>
      </c>
    </row>
    <row r="6">
      <c r="A6" s="4" t="inlineStr">
        <is>
          <t>I03</t>
        </is>
      </c>
      <c r="B6" s="4" t="inlineStr">
        <is>
          <t>Pesto</t>
        </is>
      </c>
      <c r="C6" s="4" t="inlineStr">
        <is>
          <t>Sauzen</t>
        </is>
      </c>
      <c r="D6" s="4" t="inlineStr">
        <is>
          <t>Italiaanse Import Rossi</t>
        </is>
      </c>
      <c r="E6" s="4" t="inlineStr">
        <is>
          <t>kg</t>
        </is>
      </c>
      <c r="F6" s="7" t="n">
        <v>12</v>
      </c>
      <c r="G6" s="9" t="n">
        <v>0.09</v>
      </c>
      <c r="H6" s="5" t="n">
        <v>4</v>
      </c>
      <c r="I6" s="5" t="n">
        <v>2</v>
      </c>
      <c r="J6" s="4" t="n">
        <v>60</v>
      </c>
      <c r="K6" s="25" t="n">
        <v>46183</v>
      </c>
      <c r="L6" s="4">
        <f>IF(H6&gt;0,"Ja","Nee")</f>
        <v/>
      </c>
      <c r="M6" s="4">
        <f>IF(H6&lt;I6,"Bijbestellen","OK")</f>
        <v/>
      </c>
    </row>
    <row r="7">
      <c r="A7" s="10" t="inlineStr">
        <is>
          <t>I04</t>
        </is>
      </c>
      <c r="B7" s="10" t="inlineStr">
        <is>
          <t>Ciabatta</t>
        </is>
      </c>
      <c r="C7" s="10" t="inlineStr">
        <is>
          <t>Brood</t>
        </is>
      </c>
      <c r="D7" s="10" t="inlineStr">
        <is>
          <t>Bakkerij Van Dijk</t>
        </is>
      </c>
      <c r="E7" s="10" t="inlineStr">
        <is>
          <t>stuks</t>
        </is>
      </c>
      <c r="F7" s="7" t="n">
        <v>1.1</v>
      </c>
      <c r="G7" s="12" t="n">
        <v>0.09</v>
      </c>
      <c r="H7" s="5" t="n">
        <v>40</v>
      </c>
      <c r="I7" s="5" t="n">
        <v>10</v>
      </c>
      <c r="J7" s="10" t="n">
        <v>3</v>
      </c>
      <c r="K7" s="26" t="n">
        <v>46202</v>
      </c>
      <c r="L7" s="10">
        <f>IF(H7&gt;0,"Ja","Nee")</f>
        <v/>
      </c>
      <c r="M7" s="10">
        <f>IF(H7&lt;I7,"Bijbestellen","OK")</f>
        <v/>
      </c>
    </row>
    <row r="8">
      <c r="A8" s="4" t="inlineStr">
        <is>
          <t>I05</t>
        </is>
      </c>
      <c r="B8" s="4" t="inlineStr">
        <is>
          <t>Rundvlees</t>
        </is>
      </c>
      <c r="C8" s="4" t="inlineStr">
        <is>
          <t>Vlees</t>
        </is>
      </c>
      <c r="D8" s="4" t="inlineStr">
        <is>
          <t>Slagerij De Groot</t>
        </is>
      </c>
      <c r="E8" s="4" t="inlineStr">
        <is>
          <t>kg</t>
        </is>
      </c>
      <c r="F8" s="7" t="n">
        <v>16.5</v>
      </c>
      <c r="G8" s="9" t="n">
        <v>0.09</v>
      </c>
      <c r="H8" s="5" t="n">
        <v>12</v>
      </c>
      <c r="I8" s="5" t="n">
        <v>5</v>
      </c>
      <c r="J8" s="4" t="n">
        <v>5</v>
      </c>
      <c r="K8" s="25" t="n">
        <v>46201</v>
      </c>
      <c r="L8" s="4">
        <f>IF(H8&gt;0,"Ja","Nee")</f>
        <v/>
      </c>
      <c r="M8" s="4">
        <f>IF(H8&lt;I8,"Bijbestellen","OK")</f>
        <v/>
      </c>
    </row>
    <row r="9">
      <c r="A9" s="10" t="inlineStr">
        <is>
          <t>I06</t>
        </is>
      </c>
      <c r="B9" s="10" t="inlineStr">
        <is>
          <t>Sla mix</t>
        </is>
      </c>
      <c r="C9" s="10" t="inlineStr">
        <is>
          <t>Groente</t>
        </is>
      </c>
      <c r="D9" s="10" t="inlineStr">
        <is>
          <t>Groenteboer Jansen BV</t>
        </is>
      </c>
      <c r="E9" s="10" t="inlineStr">
        <is>
          <t>kg</t>
        </is>
      </c>
      <c r="F9" s="7" t="n">
        <v>3.2</v>
      </c>
      <c r="G9" s="12" t="n">
        <v>0.09</v>
      </c>
      <c r="H9" s="5" t="n">
        <v>6</v>
      </c>
      <c r="I9" s="5" t="n">
        <v>3</v>
      </c>
      <c r="J9" s="10" t="n">
        <v>5</v>
      </c>
      <c r="K9" s="26" t="n">
        <v>46200</v>
      </c>
      <c r="L9" s="10">
        <f>IF(H9&gt;0,"Ja","Nee")</f>
        <v/>
      </c>
      <c r="M9" s="10">
        <f>IF(H9&lt;I9,"Bijbestellen","OK")</f>
        <v/>
      </c>
    </row>
    <row r="10">
      <c r="A10" s="4" t="inlineStr">
        <is>
          <t>I07</t>
        </is>
      </c>
      <c r="B10" s="4" t="inlineStr">
        <is>
          <t>Kipfilet</t>
        </is>
      </c>
      <c r="C10" s="4" t="inlineStr">
        <is>
          <t>Vlees</t>
        </is>
      </c>
      <c r="D10" s="4" t="inlineStr">
        <is>
          <t>Slagerij De Groot</t>
        </is>
      </c>
      <c r="E10" s="4" t="inlineStr">
        <is>
          <t>kg</t>
        </is>
      </c>
      <c r="F10" s="7" t="n">
        <v>9.800000000000001</v>
      </c>
      <c r="G10" s="9" t="n">
        <v>0.09</v>
      </c>
      <c r="H10" s="5" t="n">
        <v>3</v>
      </c>
      <c r="I10" s="5" t="n">
        <v>4</v>
      </c>
      <c r="J10" s="4" t="n">
        <v>5</v>
      </c>
      <c r="K10" s="25" t="n">
        <v>46199</v>
      </c>
      <c r="L10" s="4">
        <f>IF(H10&gt;0,"Ja","Nee")</f>
        <v/>
      </c>
      <c r="M10" s="4">
        <f>IF(H10&lt;I10,"Bijbestellen","OK")</f>
        <v/>
      </c>
    </row>
    <row r="11">
      <c r="A11" s="10" t="inlineStr">
        <is>
          <t>I08</t>
        </is>
      </c>
      <c r="B11" s="10" t="inlineStr">
        <is>
          <t>Parmezaanse kaas</t>
        </is>
      </c>
      <c r="C11" s="10" t="inlineStr">
        <is>
          <t>Zuivel</t>
        </is>
      </c>
      <c r="D11" s="10" t="inlineStr">
        <is>
          <t>Kaashandel De Boer</t>
        </is>
      </c>
      <c r="E11" s="10" t="inlineStr">
        <is>
          <t>kg</t>
        </is>
      </c>
      <c r="F11" s="7" t="n">
        <v>22</v>
      </c>
      <c r="G11" s="12" t="n">
        <v>0.09</v>
      </c>
      <c r="H11" s="5" t="n">
        <v>2</v>
      </c>
      <c r="I11" s="5" t="n">
        <v>3</v>
      </c>
      <c r="J11" s="10" t="n">
        <v>30</v>
      </c>
      <c r="K11" s="26" t="n">
        <v>46188</v>
      </c>
      <c r="L11" s="10">
        <f>IF(H11&gt;0,"Ja","Nee")</f>
        <v/>
      </c>
      <c r="M11" s="10">
        <f>IF(H11&lt;I11,"Bijbestellen","OK")</f>
        <v/>
      </c>
    </row>
    <row r="12">
      <c r="A12" s="4" t="inlineStr">
        <is>
          <t>I09</t>
        </is>
      </c>
      <c r="B12" s="4" t="inlineStr">
        <is>
          <t>Latte melk</t>
        </is>
      </c>
      <c r="C12" s="4" t="inlineStr">
        <is>
          <t>Zuivel</t>
        </is>
      </c>
      <c r="D12" s="4" t="inlineStr">
        <is>
          <t>Zuivelboerderij Utrecht</t>
        </is>
      </c>
      <c r="E12" s="4" t="inlineStr">
        <is>
          <t>liter</t>
        </is>
      </c>
      <c r="F12" s="7" t="n">
        <v>1.35</v>
      </c>
      <c r="G12" s="9" t="n">
        <v>0.09</v>
      </c>
      <c r="H12" s="5" t="n">
        <v>25</v>
      </c>
      <c r="I12" s="5" t="n">
        <v>10</v>
      </c>
      <c r="J12" s="4" t="n">
        <v>5</v>
      </c>
      <c r="K12" s="25" t="n">
        <v>46203</v>
      </c>
      <c r="L12" s="4">
        <f>IF(H12&gt;0,"Ja","Nee")</f>
        <v/>
      </c>
      <c r="M12" s="4">
        <f>IF(H12&lt;I12,"Bijbestellen","OK")</f>
        <v/>
      </c>
    </row>
    <row r="13">
      <c r="A13" s="10" t="inlineStr">
        <is>
          <t>I10</t>
        </is>
      </c>
      <c r="B13" s="10" t="inlineStr">
        <is>
          <t>Espresso bonen</t>
        </is>
      </c>
      <c r="C13" s="10" t="inlineStr">
        <is>
          <t>Koffie</t>
        </is>
      </c>
      <c r="D13" s="10" t="inlineStr">
        <is>
          <t>Koffiebranderij Amsterdam</t>
        </is>
      </c>
      <c r="E13" s="10" t="inlineStr">
        <is>
          <t>kg</t>
        </is>
      </c>
      <c r="F13" s="7" t="n">
        <v>24</v>
      </c>
      <c r="G13" s="12" t="n">
        <v>0.09</v>
      </c>
      <c r="H13" s="5" t="n">
        <v>5</v>
      </c>
      <c r="I13" s="5" t="n">
        <v>2</v>
      </c>
      <c r="J13" s="10" t="n">
        <v>180</v>
      </c>
      <c r="K13" s="26" t="n">
        <v>46157</v>
      </c>
      <c r="L13" s="10">
        <f>IF(H13&gt;0,"Ja","Nee")</f>
        <v/>
      </c>
      <c r="M13" s="10">
        <f>IF(H13&lt;I13,"Bijbestellen","OK")</f>
        <v/>
      </c>
    </row>
  </sheetData>
  <mergeCells count="1">
    <mergeCell ref="A1:M1"/>
  </mergeCells>
  <conditionalFormatting sqref="M4:M13">
    <cfRule type="expression" priority="1" dxfId="0" stopIfTrue="1">
      <formula>$M4="Bijbestellen"</formula>
    </cfRule>
    <cfRule type="expression" priority="2" dxfId="1" stopIfTrue="1">
      <formula>$M4="OK"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31"/>
  <sheetViews>
    <sheetView workbookViewId="0">
      <selection activeCell="A1" sqref="A1"/>
    </sheetView>
  </sheetViews>
  <sheetFormatPr baseColWidth="8" defaultRowHeight="15"/>
  <cols>
    <col width="24" customWidth="1" min="1" max="1"/>
    <col width="20" customWidth="1" min="2" max="2"/>
    <col width="16" customWidth="1" min="3" max="3"/>
    <col width="16" customWidth="1" min="4" max="4"/>
    <col width="18" customWidth="1" min="5" max="5"/>
    <col width="12" customWidth="1" min="6" max="6"/>
    <col width="12" customWidth="1" min="7" max="7"/>
  </cols>
  <sheetData>
    <row r="1" ht="26" customHeight="1">
      <c r="A1" s="1" t="inlineStr">
        <is>
          <t>Dashboard - Kostprijs &amp; Marge Horeca</t>
        </is>
      </c>
    </row>
    <row r="2"/>
    <row r="3">
      <c r="A3" s="15" t="inlineStr">
        <is>
          <t>Kerncijfers</t>
        </is>
      </c>
      <c r="B3" s="27" t="n"/>
    </row>
    <row r="4">
      <c r="A4" s="4" t="inlineStr">
        <is>
          <t>Aantal actieve ingrediënten</t>
        </is>
      </c>
      <c r="B4" s="16">
        <f>COUNTIF('Ingrediënten'!L4:L13,"Ja")</f>
        <v/>
      </c>
    </row>
    <row r="5">
      <c r="A5" s="10" t="inlineStr">
        <is>
          <t>Gemiddelde foodcost %</t>
        </is>
      </c>
      <c r="B5" s="17">
        <f>IFERROR(AVERAGE(F13:F22),0)</f>
        <v/>
      </c>
    </row>
    <row r="6">
      <c r="A6" s="4" t="inlineStr">
        <is>
          <t>Gemiddelde marge %</t>
        </is>
      </c>
      <c r="B6" s="18">
        <f>IFERROR(AVERAGE(G13:G22),0)</f>
        <v/>
      </c>
    </row>
    <row r="7">
      <c r="A7" s="10" t="inlineStr">
        <is>
          <t>Hoogste kostprijs per gerecht</t>
        </is>
      </c>
      <c r="B7" s="19">
        <f>IFERROR(MAX(D13:D22),0)</f>
        <v/>
      </c>
    </row>
    <row r="8">
      <c r="A8" s="4" t="inlineStr">
        <is>
          <t>Aantal recepten met foodcost &gt; 35%</t>
        </is>
      </c>
      <c r="B8" s="16">
        <f>COUNTIF(F13:F22,"&gt;0.35")</f>
        <v/>
      </c>
    </row>
    <row r="9">
      <c r="A9" s="10" t="inlineStr">
        <is>
          <t>Aantal ingrediënten onder minimumniveau</t>
        </is>
      </c>
      <c r="B9" s="20">
        <f>SUMPRODUCT(('Ingrediënten'!H4:H13&lt;'Ingrediënten'!I4:I13)*1)</f>
        <v/>
      </c>
    </row>
    <row r="10"/>
    <row r="11">
      <c r="A11" s="15" t="inlineStr">
        <is>
          <t>Receptoverzicht</t>
        </is>
      </c>
      <c r="B11" s="28" t="n"/>
      <c r="C11" s="28" t="n"/>
      <c r="D11" s="28" t="n"/>
      <c r="E11" s="28" t="n"/>
      <c r="F11" s="28" t="n"/>
      <c r="G11" s="27" t="n"/>
    </row>
    <row r="12">
      <c r="A12" s="3" t="inlineStr">
        <is>
          <t>Recept-ID</t>
        </is>
      </c>
      <c r="B12" s="3" t="inlineStr">
        <is>
          <t>Gerecht/Drank</t>
        </is>
      </c>
      <c r="C12" s="3" t="inlineStr">
        <is>
          <t>Categorie</t>
        </is>
      </c>
      <c r="D12" s="3" t="inlineStr">
        <is>
          <t>Totaal kostprijs</t>
        </is>
      </c>
      <c r="E12" s="3" t="inlineStr">
        <is>
          <t>Verkoopprijs excl. btw</t>
        </is>
      </c>
      <c r="F12" s="3" t="inlineStr">
        <is>
          <t>Foodcost %</t>
        </is>
      </c>
      <c r="G12" s="3" t="inlineStr">
        <is>
          <t>Marge %</t>
        </is>
      </c>
    </row>
    <row r="13">
      <c r="A13" s="4">
        <f>Recepturen!A4</f>
        <v/>
      </c>
      <c r="B13" s="4">
        <f>Recepturen!B4</f>
        <v/>
      </c>
      <c r="C13" s="4">
        <f>Recepturen!C4</f>
        <v/>
      </c>
      <c r="D13" s="6">
        <f>Recepturen!L4</f>
        <v/>
      </c>
      <c r="E13" s="6">
        <f>Recepturen!M4</f>
        <v/>
      </c>
      <c r="F13" s="9">
        <f>Recepturen!R4</f>
        <v/>
      </c>
      <c r="G13" s="9">
        <f>Recepturen!Q4</f>
        <v/>
      </c>
    </row>
    <row r="14">
      <c r="A14" s="10">
        <f>Recepturen!A6</f>
        <v/>
      </c>
      <c r="B14" s="10">
        <f>Recepturen!B6</f>
        <v/>
      </c>
      <c r="C14" s="10">
        <f>Recepturen!C6</f>
        <v/>
      </c>
      <c r="D14" s="11">
        <f>Recepturen!L6</f>
        <v/>
      </c>
      <c r="E14" s="11">
        <f>Recepturen!M6</f>
        <v/>
      </c>
      <c r="F14" s="12">
        <f>Recepturen!R6</f>
        <v/>
      </c>
      <c r="G14" s="12">
        <f>Recepturen!Q6</f>
        <v/>
      </c>
    </row>
    <row r="15">
      <c r="A15" s="4">
        <f>Recepturen!A8</f>
        <v/>
      </c>
      <c r="B15" s="4">
        <f>Recepturen!B8</f>
        <v/>
      </c>
      <c r="C15" s="4">
        <f>Recepturen!C8</f>
        <v/>
      </c>
      <c r="D15" s="6">
        <f>Recepturen!L8</f>
        <v/>
      </c>
      <c r="E15" s="6">
        <f>Recepturen!M8</f>
        <v/>
      </c>
      <c r="F15" s="9">
        <f>Recepturen!R8</f>
        <v/>
      </c>
      <c r="G15" s="9">
        <f>Recepturen!Q8</f>
        <v/>
      </c>
    </row>
    <row r="16">
      <c r="A16" s="10">
        <f>Recepturen!A10</f>
        <v/>
      </c>
      <c r="B16" s="10">
        <f>Recepturen!B10</f>
        <v/>
      </c>
      <c r="C16" s="10">
        <f>Recepturen!C10</f>
        <v/>
      </c>
      <c r="D16" s="11">
        <f>Recepturen!L10</f>
        <v/>
      </c>
      <c r="E16" s="11">
        <f>Recepturen!M10</f>
        <v/>
      </c>
      <c r="F16" s="12">
        <f>Recepturen!R10</f>
        <v/>
      </c>
      <c r="G16" s="12">
        <f>Recepturen!Q10</f>
        <v/>
      </c>
    </row>
    <row r="17">
      <c r="A17" s="4">
        <f>Recepturen!A12</f>
        <v/>
      </c>
      <c r="B17" s="4">
        <f>Recepturen!B12</f>
        <v/>
      </c>
      <c r="C17" s="4">
        <f>Recepturen!C12</f>
        <v/>
      </c>
      <c r="D17" s="6">
        <f>Recepturen!L12</f>
        <v/>
      </c>
      <c r="E17" s="6">
        <f>Recepturen!M12</f>
        <v/>
      </c>
      <c r="F17" s="9">
        <f>Recepturen!R12</f>
        <v/>
      </c>
      <c r="G17" s="9">
        <f>Recepturen!Q12</f>
        <v/>
      </c>
    </row>
    <row r="18">
      <c r="A18" s="10">
        <f>Recepturen!A14</f>
        <v/>
      </c>
      <c r="B18" s="10">
        <f>Recepturen!B14</f>
        <v/>
      </c>
      <c r="C18" s="10">
        <f>Recepturen!C14</f>
        <v/>
      </c>
      <c r="D18" s="11">
        <f>Recepturen!L14</f>
        <v/>
      </c>
      <c r="E18" s="11">
        <f>Recepturen!M14</f>
        <v/>
      </c>
      <c r="F18" s="12">
        <f>Recepturen!R14</f>
        <v/>
      </c>
      <c r="G18" s="12">
        <f>Recepturen!Q14</f>
        <v/>
      </c>
    </row>
    <row r="19">
      <c r="A19" s="4">
        <f>Recepturen!A16</f>
        <v/>
      </c>
      <c r="B19" s="4">
        <f>Recepturen!B16</f>
        <v/>
      </c>
      <c r="C19" s="4">
        <f>Recepturen!C16</f>
        <v/>
      </c>
      <c r="D19" s="6">
        <f>Recepturen!L16</f>
        <v/>
      </c>
      <c r="E19" s="6">
        <f>Recepturen!M16</f>
        <v/>
      </c>
      <c r="F19" s="9">
        <f>Recepturen!R16</f>
        <v/>
      </c>
      <c r="G19" s="9">
        <f>Recepturen!Q16</f>
        <v/>
      </c>
    </row>
    <row r="20">
      <c r="A20" s="10">
        <f>Recepturen!A18</f>
        <v/>
      </c>
      <c r="B20" s="10">
        <f>Recepturen!B18</f>
        <v/>
      </c>
      <c r="C20" s="10">
        <f>Recepturen!C18</f>
        <v/>
      </c>
      <c r="D20" s="11">
        <f>Recepturen!L18</f>
        <v/>
      </c>
      <c r="E20" s="11">
        <f>Recepturen!M18</f>
        <v/>
      </c>
      <c r="F20" s="12">
        <f>Recepturen!R18</f>
        <v/>
      </c>
      <c r="G20" s="12">
        <f>Recepturen!Q18</f>
        <v/>
      </c>
    </row>
    <row r="21">
      <c r="A21" s="4">
        <f>Recepturen!A20</f>
        <v/>
      </c>
      <c r="B21" s="4">
        <f>Recepturen!B20</f>
        <v/>
      </c>
      <c r="C21" s="4">
        <f>Recepturen!C20</f>
        <v/>
      </c>
      <c r="D21" s="6">
        <f>Recepturen!L20</f>
        <v/>
      </c>
      <c r="E21" s="6">
        <f>Recepturen!M20</f>
        <v/>
      </c>
      <c r="F21" s="9">
        <f>Recepturen!R20</f>
        <v/>
      </c>
      <c r="G21" s="9">
        <f>Recepturen!Q20</f>
        <v/>
      </c>
    </row>
    <row r="22">
      <c r="A22" s="10">
        <f>Recepturen!A22</f>
        <v/>
      </c>
      <c r="B22" s="10">
        <f>Recepturen!B22</f>
        <v/>
      </c>
      <c r="C22" s="10">
        <f>Recepturen!C22</f>
        <v/>
      </c>
      <c r="D22" s="11">
        <f>Recepturen!L22</f>
        <v/>
      </c>
      <c r="E22" s="11">
        <f>Recepturen!M22</f>
        <v/>
      </c>
      <c r="F22" s="12">
        <f>Recepturen!R22</f>
        <v/>
      </c>
      <c r="G22" s="12">
        <f>Recepturen!Q22</f>
        <v/>
      </c>
    </row>
    <row r="23"/>
    <row r="24">
      <c r="A24" s="15" t="inlineStr">
        <is>
          <t>Kostprijsverdeling per categorie</t>
        </is>
      </c>
      <c r="B24" s="27" t="n"/>
    </row>
    <row r="25">
      <c r="A25" s="3" t="inlineStr">
        <is>
          <t>Categorie</t>
        </is>
      </c>
      <c r="B25" s="3" t="inlineStr">
        <is>
          <t>Totaal kostprijs</t>
        </is>
      </c>
    </row>
    <row r="26">
      <c r="A26" s="4" t="inlineStr">
        <is>
          <t>Salades</t>
        </is>
      </c>
      <c r="B26" s="6">
        <f>SUMIF($C$13:$C$22,A26,$D$13:$D$22)</f>
        <v/>
      </c>
    </row>
    <row r="27">
      <c r="A27" s="10" t="inlineStr">
        <is>
          <t>Broodjes</t>
        </is>
      </c>
      <c r="B27" s="11">
        <f>SUMIF($C$13:$C$22,A27,$D$13:$D$22)</f>
        <v/>
      </c>
    </row>
    <row r="28">
      <c r="A28" s="4" t="inlineStr">
        <is>
          <t>Hoofdgerecht</t>
        </is>
      </c>
      <c r="B28" s="6">
        <f>SUMIF($C$13:$C$22,A28,$D$13:$D$22)</f>
        <v/>
      </c>
    </row>
    <row r="29">
      <c r="A29" s="10" t="inlineStr">
        <is>
          <t>Lunch</t>
        </is>
      </c>
      <c r="B29" s="11">
        <f>SUMIF($C$13:$C$22,A29,$D$13:$D$22)</f>
        <v/>
      </c>
    </row>
    <row r="30">
      <c r="A30" s="4" t="inlineStr">
        <is>
          <t>Koffie</t>
        </is>
      </c>
      <c r="B30" s="6">
        <f>SUMIF($C$13:$C$22,A30,$D$13:$D$22)</f>
        <v/>
      </c>
    </row>
    <row r="31">
      <c r="A31" s="10" t="inlineStr">
        <is>
          <t>Voorgerecht</t>
        </is>
      </c>
      <c r="B31" s="11">
        <f>SUMIF($C$13:$C$22,A31,$D$13:$D$22)</f>
        <v/>
      </c>
    </row>
  </sheetData>
  <mergeCells count="4">
    <mergeCell ref="A1:H1"/>
    <mergeCell ref="A3:B3"/>
    <mergeCell ref="A11:G11"/>
    <mergeCell ref="A24:B24"/>
  </mergeCells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26" customWidth="1" min="1" max="1"/>
    <col width="90" customWidth="1" min="2" max="2"/>
  </cols>
  <sheetData>
    <row r="1" ht="26" customHeight="1">
      <c r="A1" s="1" t="inlineStr">
        <is>
          <t>Handleiding - Receptuur Kostprijs Sjabloon</t>
        </is>
      </c>
    </row>
    <row r="2"/>
    <row r="3">
      <c r="A3" s="3" t="inlineStr">
        <is>
          <t>Stap</t>
        </is>
      </c>
      <c r="B3" s="3" t="inlineStr">
        <is>
          <t>Toelichting</t>
        </is>
      </c>
    </row>
    <row r="4" ht="30" customHeight="1">
      <c r="A4" s="21" t="inlineStr">
        <is>
          <t>1. Ingrediënten invullen</t>
        </is>
      </c>
      <c r="B4" s="22" t="inlineStr">
        <is>
          <t>Vul eerst alle ingrediënten in op het tabblad 'Ingrediënten' met inkoopprijs, eenheid, btw en voorraad.</t>
        </is>
      </c>
    </row>
    <row r="5" ht="30" customHeight="1">
      <c r="A5" s="23" t="inlineStr">
        <is>
          <t>2. Namen consistent gebruiken</t>
        </is>
      </c>
      <c r="B5" s="24" t="inlineStr">
        <is>
          <t>Gebruik in 'Recepturen' exact dezelfde ingrediëntnaam als in 'Ingrediënten', anders werkt de VLOOKUP niet.</t>
        </is>
      </c>
    </row>
    <row r="6" ht="30" customHeight="1">
      <c r="A6" s="21" t="inlineStr">
        <is>
          <t>3. Inkoopprijzen actualiseren</t>
        </is>
      </c>
      <c r="B6" s="22" t="inlineStr">
        <is>
          <t>Pas prijzen in 'Ingrediënten' aan bij prijswijzigingen van leveranciers; de kostprijs in Recepturen wordt automatisch bijgewerkt.</t>
        </is>
      </c>
    </row>
    <row r="7" ht="30" customHeight="1">
      <c r="A7" s="23" t="inlineStr">
        <is>
          <t>4. Foodcost bewaken</t>
        </is>
      </c>
      <c r="B7" s="24" t="inlineStr">
        <is>
          <t>Een foodcost % boven 35% wordt automatisch rood gemarkeerd als aandachtspunt; pas verkoopprijs of receptuur aan.</t>
        </is>
      </c>
    </row>
    <row r="8" ht="30" customHeight="1">
      <c r="A8" s="21" t="inlineStr">
        <is>
          <t>5. Verkoopprijzen invullen</t>
        </is>
      </c>
      <c r="B8" s="22" t="inlineStr">
        <is>
          <t>Verkoopprijs excl. btw en btw-tarief zijn gele invoervelden op 'Recepturen'; incl. btw en marge worden automatisch berekend.</t>
        </is>
      </c>
    </row>
    <row r="9" ht="30" customHeight="1">
      <c r="A9" s="23" t="inlineStr">
        <is>
          <t>6. Voorraad bewaken</t>
        </is>
      </c>
      <c r="B9" s="24" t="inlineStr">
        <is>
          <t>Kolom 'Voorraadwaarschuwing' op 'Ingrediënten' toont 'Bijbestellen' zodra de voorraad onder het minimum komt.</t>
        </is>
      </c>
    </row>
    <row r="10" ht="30" customHeight="1">
      <c r="A10" s="21" t="inlineStr">
        <is>
          <t>7. Dashboard raadplegen</t>
        </is>
      </c>
      <c r="B10" s="22" t="inlineStr">
        <is>
          <t>Bekijk het tabblad 'Dashboard' voor kerncijfers, kostprijsverdeling per categorie en foodcost-trends.</t>
        </is>
      </c>
    </row>
    <row r="11" ht="30" customHeight="1">
      <c r="A11" s="23" t="inlineStr">
        <is>
          <t>8. Gele cellen</t>
        </is>
      </c>
      <c r="B11" s="24" t="inlineStr">
        <is>
          <t>Alleen gele cellen zijn bedoeld als invoer; overige cellen bevatten formules en hoeven niet te worden aangepast.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2026-07-02T22:15:27Z</dcterms:created>
  <dcterms:modified xmlns:dcterms="http://purl.org/dc/terms/" xmlns:xsi="http://www.w3.org/2001/XMLSchema-instance" xsi:type="dcterms:W3CDTF">2026-07-02T22:15:27Z</dcterms:modified>
</cp:coreProperties>
</file>