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lanning" sheetId="1" state="visible" r:id="rId1"/>
    <sheet xmlns:r="http://schemas.openxmlformats.org/officeDocument/2006/relationships" name="Capaciteit" sheetId="2" state="visible" r:id="rId2"/>
    <sheet xmlns:r="http://schemas.openxmlformats.org/officeDocument/2006/relationships" name="Dashboard" sheetId="3" state="visible" r:id="rId3"/>
    <sheet xmlns:r="http://schemas.openxmlformats.org/officeDocument/2006/relationships" name="Instructies" sheetId="4" state="visible" r:id="rId4"/>
  </sheets>
  <definedNames/>
  <calcPr calcId="124519" fullCalcOnLoad="1"/>
</workbook>
</file>

<file path=xl/styles.xml><?xml version="1.0" encoding="utf-8"?>
<styleSheet xmlns="http://schemas.openxmlformats.org/spreadsheetml/2006/main">
  <numFmts count="2">
    <numFmt numFmtId="164" formatCode="DD-MM-JJJJ"/>
    <numFmt numFmtId="165" formatCode="&quot;€&quot; #.##0,00"/>
  </numFmts>
  <fonts count="7">
    <font>
      <name val="Calibri"/>
      <family val="2"/>
      <color theme="1"/>
      <sz val="11"/>
      <scheme val="minor"/>
    </font>
    <font>
      <b val="1"/>
      <color rgb="00FFFFFF"/>
      <sz val="16"/>
    </font>
    <font>
      <b val="1"/>
      <color rgb="00FFFFFF"/>
      <sz val="11"/>
    </font>
    <font>
      <b val="1"/>
      <color rgb="00FFFFFF"/>
      <sz val="10"/>
    </font>
    <font>
      <b val="1"/>
      <color rgb="001E293B"/>
      <sz val="10"/>
    </font>
    <font>
      <b val="1"/>
      <color rgb="00FFFFFF"/>
      <sz val="9"/>
    </font>
    <font>
      <b val="1"/>
      <color rgb="00FFFFFF"/>
      <sz val="14"/>
    </font>
  </fonts>
  <fills count="9">
    <fill>
      <patternFill/>
    </fill>
    <fill>
      <patternFill patternType="gray125"/>
    </fill>
    <fill>
      <patternFill patternType="solid">
        <fgColor rgb="001E293B"/>
      </patternFill>
    </fill>
    <fill>
      <patternFill patternType="solid">
        <fgColor rgb="000F766E"/>
      </patternFill>
    </fill>
    <fill>
      <patternFill patternType="solid">
        <fgColor rgb="00F0FDFA"/>
      </patternFill>
    </fill>
    <fill>
      <patternFill patternType="solid">
        <fgColor rgb="00FFFBEB"/>
      </patternFill>
    </fill>
    <fill>
      <patternFill patternType="solid">
        <fgColor rgb="00FFFFFF"/>
      </patternFill>
    </fill>
    <fill>
      <patternFill patternType="solid">
        <fgColor rgb="0014B8A6"/>
      </patternFill>
    </fill>
    <fill>
      <patternFill patternType="solid">
        <fgColor rgb="00C8102E"/>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6">
    <xf numFmtId="0" fontId="0" fillId="0" borderId="0" pivotButton="0" quotePrefix="0" xfId="0"/>
    <xf numFmtId="0" fontId="1" fillId="2" borderId="0" applyAlignment="1" pivotButton="0" quotePrefix="0" xfId="0">
      <alignment horizontal="center" vertical="center"/>
    </xf>
    <xf numFmtId="0" fontId="2" fillId="3" borderId="1" applyAlignment="1" pivotButton="0" quotePrefix="0" xfId="0">
      <alignment horizontal="center" vertical="center"/>
    </xf>
    <xf numFmtId="0" fontId="0" fillId="4" borderId="1" pivotButton="0" quotePrefix="0" xfId="0"/>
    <xf numFmtId="164" fontId="0" fillId="5" borderId="1" pivotButton="0" quotePrefix="0" xfId="0"/>
    <xf numFmtId="0" fontId="0" fillId="5" borderId="1" pivotButton="0" quotePrefix="0" xfId="0"/>
    <xf numFmtId="165" fontId="0" fillId="5" borderId="1" pivotButton="0" quotePrefix="0" xfId="0"/>
    <xf numFmtId="165" fontId="0" fillId="4" borderId="1" pivotButton="0" quotePrefix="0" xfId="0"/>
    <xf numFmtId="0" fontId="0" fillId="6" borderId="1" pivotButton="0" quotePrefix="0" xfId="0"/>
    <xf numFmtId="165" fontId="0" fillId="6" borderId="1" pivotButton="0" quotePrefix="0" xfId="0"/>
    <xf numFmtId="0" fontId="3" fillId="7" borderId="0" applyAlignment="1" pivotButton="0" quotePrefix="0" xfId="0">
      <alignment horizontal="center" vertical="center"/>
    </xf>
    <xf numFmtId="0" fontId="0" fillId="5" borderId="1" applyAlignment="1" pivotButton="0" quotePrefix="0" xfId="0">
      <alignment horizontal="center" vertical="center"/>
    </xf>
    <xf numFmtId="9" fontId="0" fillId="4" borderId="1" pivotButton="0" quotePrefix="0" xfId="0"/>
    <xf numFmtId="9" fontId="0" fillId="6" borderId="1" pivotButton="0" quotePrefix="0" xfId="0"/>
    <xf numFmtId="0" fontId="5" fillId="7" borderId="0" applyAlignment="1" pivotButton="0" quotePrefix="0" xfId="0">
      <alignment horizontal="center" vertical="center"/>
    </xf>
    <xf numFmtId="1" fontId="6" fillId="8" borderId="0" applyAlignment="1" pivotButton="0" quotePrefix="0" xfId="0">
      <alignment horizontal="center" vertical="center"/>
    </xf>
    <xf numFmtId="165" fontId="6" fillId="8" borderId="0" applyAlignment="1" pivotButton="0" quotePrefix="0" xfId="0">
      <alignment horizontal="center" vertical="center"/>
    </xf>
    <xf numFmtId="9" fontId="6" fillId="8" borderId="0" applyAlignment="1" pivotButton="0" quotePrefix="0" xfId="0">
      <alignment horizontal="center" vertical="center"/>
    </xf>
    <xf numFmtId="0" fontId="3" fillId="7" borderId="1" applyAlignment="1" pivotButton="0" quotePrefix="0" xfId="0">
      <alignment horizontal="left" vertical="center" wrapText="1"/>
    </xf>
    <xf numFmtId="0" fontId="0" fillId="6" borderId="1" applyAlignment="1" pivotButton="0" quotePrefix="0" xfId="0">
      <alignment horizontal="left" vertical="top" wrapText="1"/>
    </xf>
    <xf numFmtId="0" fontId="0" fillId="4" borderId="1" applyAlignment="1" pivotButton="0" quotePrefix="0" xfId="0">
      <alignment horizontal="left" vertical="top" wrapText="1"/>
    </xf>
    <xf numFmtId="164" fontId="0" fillId="5" borderId="1" pivotButton="0" quotePrefix="0" xfId="0"/>
    <xf numFmtId="165" fontId="0" fillId="5" borderId="1" pivotButton="0" quotePrefix="0" xfId="0"/>
    <xf numFmtId="165" fontId="0" fillId="4" borderId="1" pivotButton="0" quotePrefix="0" xfId="0"/>
    <xf numFmtId="165" fontId="0" fillId="6" borderId="1" pivotButton="0" quotePrefix="0" xfId="0"/>
    <xf numFmtId="165" fontId="6" fillId="8" borderId="0" applyAlignment="1" pivotButton="0" quotePrefix="0" xfId="0">
      <alignment horizontal="center" vertical="center"/>
    </xf>
  </cellXfs>
  <cellStyles count="1">
    <cellStyle name="Normal" xfId="0" builtinId="0" hidden="0"/>
  </cellStyles>
  <dxfs count="3">
    <dxf>
      <font>
        <b val="1"/>
        <color rgb="00DC2626"/>
      </font>
      <fill>
        <patternFill patternType="solid">
          <fgColor rgb="00FEE2E2"/>
        </patternFill>
      </fill>
    </dxf>
    <dxf>
      <font>
        <b val="1"/>
        <color rgb="0015803D"/>
      </font>
      <fill>
        <patternFill patternType="solid">
          <fgColor rgb="00D1FAE5"/>
        </patternFill>
      </fill>
    </dxf>
    <dxf>
      <fill>
        <patternFill patternType="solid">
          <fgColor rgb="00FEF3C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Geplande uren per resource</a:t>
            </a:r>
          </a:p>
        </rich>
      </tx>
    </title>
    <plotArea>
      <barChart>
        <barDir val="col"/>
        <grouping val="clustered"/>
        <ser>
          <idx val="0"/>
          <order val="0"/>
          <tx>
            <strRef>
              <f>'Dashboard'!B12</f>
            </strRef>
          </tx>
          <spPr>
            <a:solidFill xmlns:a="http://schemas.openxmlformats.org/drawingml/2006/main">
              <a:srgbClr val="0F766E"/>
            </a:solidFill>
            <a:ln xmlns:a="http://schemas.openxmlformats.org/drawingml/2006/main">
              <a:prstDash val="solid"/>
            </a:ln>
          </spPr>
          <cat>
            <numRef>
              <f>'Dashboard'!$A$13:$A$22</f>
            </numRef>
          </cat>
          <val>
            <numRef>
              <f>'Dashboard'!$B$13:$B$22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Resource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Uren per week</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Verdeling per status</a:t>
            </a:r>
          </a:p>
        </rich>
      </tx>
    </title>
    <plotArea>
      <pieChart>
        <varyColors val="1"/>
        <ser>
          <idx val="0"/>
          <order val="0"/>
          <tx>
            <strRef>
              <f>'Dashboard'!B7</f>
            </strRef>
          </tx>
          <spPr>
            <a:ln xmlns:a="http://schemas.openxmlformats.org/drawingml/2006/main">
              <a:prstDash val="solid"/>
            </a:ln>
          </spPr>
          <cat>
            <numRef>
              <f>'Dashboard'!$A$8:$A$10</f>
            </numRef>
          </cat>
          <val>
            <numRef>
              <f>'Dashboard'!$B$8:$B$10</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Totale geplande uren per maand 2026</a:t>
            </a:r>
          </a:p>
        </rich>
      </tx>
    </title>
    <plotArea>
      <lineChart>
        <grouping val="standard"/>
        <ser>
          <idx val="0"/>
          <order val="0"/>
          <tx>
            <strRef>
              <f>'Dashboard'!F12</f>
            </strRef>
          </tx>
          <spPr>
            <a:ln xmlns:a="http://schemas.openxmlformats.org/drawingml/2006/main" w="20000">
              <a:solidFill>
                <a:srgbClr val="C8102E"/>
              </a:solidFill>
              <a:prstDash val="solid"/>
            </a:ln>
          </spPr>
          <marker>
            <symbol val="none"/>
            <spPr>
              <a:ln xmlns:a="http://schemas.openxmlformats.org/drawingml/2006/main">
                <a:prstDash val="solid"/>
              </a:ln>
            </spPr>
          </marker>
          <cat>
            <numRef>
              <f>'Dashboard'!$E$13:$E$24</f>
            </numRef>
          </cat>
          <val>
            <numRef>
              <f>'Dashboard'!$F$13:$F$24</f>
            </numRef>
          </val>
        </ser>
        <axId val="10"/>
        <axId val="100"/>
      </lineChart>
      <catAx>
        <axId val="10"/>
        <scaling>
          <orientation val="minMax"/>
        </scaling>
        <axPos val="l"/>
        <title>
          <tx>
            <rich>
              <a:bodyPr xmlns:a="http://schemas.openxmlformats.org/drawingml/2006/main"/>
              <a:p xmlns:a="http://schemas.openxmlformats.org/drawingml/2006/main">
                <a:pPr>
                  <a:defRPr/>
                </a:pPr>
                <a:r>
                  <a:t>Maand</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Uren</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7</col>
      <colOff>0</colOff>
      <row>2</row>
      <rowOff>0</rowOff>
    </from>
    <ext cx="576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20</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15</col>
      <colOff>0</colOff>
      <row>2</row>
      <rowOff>0</rowOff>
    </from>
    <ext cx="5760000" cy="324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S12"/>
  <sheetViews>
    <sheetView workbookViewId="0">
      <pane ySplit="2" topLeftCell="A3" activePane="bottomLeft" state="frozen"/>
      <selection pane="bottomLeft" activeCell="A1" sqref="A1"/>
    </sheetView>
  </sheetViews>
  <sheetFormatPr baseColWidth="8" defaultRowHeight="15"/>
  <cols>
    <col width="12" customWidth="1" min="1" max="1"/>
    <col width="26" customWidth="1" min="2" max="2"/>
    <col width="20" customWidth="1" min="3" max="3"/>
    <col width="12" customWidth="1" min="4" max="4"/>
    <col width="18" customWidth="1" min="5" max="5"/>
    <col width="16" customWidth="1" min="6" max="6"/>
    <col width="14" customWidth="1" min="7" max="7"/>
    <col width="13" customWidth="1" min="8" max="8"/>
    <col width="13" customWidth="1" min="9" max="9"/>
    <col width="12" customWidth="1" min="10" max="10"/>
    <col width="12" customWidth="1" min="11" max="11"/>
    <col width="12" customWidth="1" min="12" max="12"/>
    <col width="13" customWidth="1" min="13" max="13"/>
    <col width="15" customWidth="1" min="14" max="14"/>
    <col width="12" customWidth="1" min="15" max="15"/>
    <col width="12" customWidth="1" min="16" max="16"/>
    <col width="14" customWidth="1" min="17" max="17"/>
    <col width="14" customWidth="1" min="18" max="18"/>
    <col width="30" customWidth="1" min="19" max="19"/>
  </cols>
  <sheetData>
    <row r="1" ht="26" customHeight="1">
      <c r="A1" s="1" t="inlineStr">
        <is>
          <t>Resource Planning Overzicht 2026</t>
        </is>
      </c>
    </row>
    <row r="2">
      <c r="A2" s="2" t="inlineStr">
        <is>
          <t>Projectcode</t>
        </is>
      </c>
      <c r="B2" s="2" t="inlineStr">
        <is>
          <t>Projectnaam</t>
        </is>
      </c>
      <c r="C2" s="2" t="inlineStr">
        <is>
          <t>Klant</t>
        </is>
      </c>
      <c r="D2" s="2" t="inlineStr">
        <is>
          <t>Resource</t>
        </is>
      </c>
      <c r="E2" s="2" t="inlineStr">
        <is>
          <t>Rol</t>
        </is>
      </c>
      <c r="F2" s="2" t="inlineStr">
        <is>
          <t>Team / Afdeling</t>
        </is>
      </c>
      <c r="G2" s="2" t="inlineStr">
        <is>
          <t>Stad</t>
        </is>
      </c>
      <c r="H2" s="2" t="inlineStr">
        <is>
          <t>Startdatum</t>
        </is>
      </c>
      <c r="I2" s="2" t="inlineStr">
        <is>
          <t>Einddatum</t>
        </is>
      </c>
      <c r="J2" s="2" t="inlineStr">
        <is>
          <t>Aantal dagen</t>
        </is>
      </c>
      <c r="K2" s="2" t="inlineStr">
        <is>
          <t>Uren per dag</t>
        </is>
      </c>
      <c r="L2" s="2" t="inlineStr">
        <is>
          <t>Totaal uren</t>
        </is>
      </c>
      <c r="M2" s="2" t="inlineStr">
        <is>
          <t>Tarief per uur</t>
        </is>
      </c>
      <c r="N2" s="2" t="inlineStr">
        <is>
          <t>Totale waarde</t>
        </is>
      </c>
      <c r="O2" s="2" t="inlineStr">
        <is>
          <t>Status</t>
        </is>
      </c>
      <c r="P2" s="2" t="inlineStr">
        <is>
          <t>Prioriteit</t>
        </is>
      </c>
      <c r="Q2" s="2" t="inlineStr">
        <is>
          <t>Beschikbare uren per week</t>
        </is>
      </c>
      <c r="R2" s="2" t="inlineStr">
        <is>
          <t>Overbelasting?</t>
        </is>
      </c>
      <c r="S2" s="2" t="inlineStr">
        <is>
          <t>Opmerking</t>
        </is>
      </c>
    </row>
    <row r="3">
      <c r="A3" s="3" t="inlineStr">
        <is>
          <t>P001</t>
        </is>
      </c>
      <c r="B3" s="3" t="inlineStr">
        <is>
          <t>Implementatie CRM</t>
        </is>
      </c>
      <c r="C3" s="3" t="inlineStr">
        <is>
          <t>TechNL BV</t>
        </is>
      </c>
      <c r="D3" s="3" t="inlineStr">
        <is>
          <t>Sanne</t>
        </is>
      </c>
      <c r="E3" s="3" t="inlineStr">
        <is>
          <t>Projectmanager</t>
        </is>
      </c>
      <c r="F3" s="3" t="inlineStr">
        <is>
          <t>IT</t>
        </is>
      </c>
      <c r="G3" s="3" t="inlineStr">
        <is>
          <t>Amsterdam</t>
        </is>
      </c>
      <c r="H3" s="21" t="n">
        <v>46027</v>
      </c>
      <c r="I3" s="21" t="n">
        <v>46052</v>
      </c>
      <c r="J3" s="3">
        <f>I3-H3+1</f>
        <v/>
      </c>
      <c r="K3" s="5" t="n">
        <v>8</v>
      </c>
      <c r="L3" s="3">
        <f>J3*K3</f>
        <v/>
      </c>
      <c r="M3" s="22" t="n">
        <v>95</v>
      </c>
      <c r="N3" s="23">
        <f>L3*M3</f>
        <v/>
      </c>
      <c r="O3" s="3">
        <f>IF(AND(TODAY()&gt;=H3,TODAY()&lt;=I3),"Actief",IF(TODAY()&gt;I3,"Afgerond","Gepland"))</f>
        <v/>
      </c>
      <c r="P3" s="3" t="inlineStr">
        <is>
          <t>Hoog</t>
        </is>
      </c>
      <c r="Q3" s="3" t="n">
        <v>40</v>
      </c>
      <c r="R3" s="3">
        <f>IF(L3&gt;(Q3*ROUNDUP(J3/7,0)),"Ja","Nee")</f>
        <v/>
      </c>
      <c r="S3" s="3" t="inlineStr">
        <is>
          <t>Kickoff en inrichting fase 1</t>
        </is>
      </c>
    </row>
    <row r="4">
      <c r="A4" s="8" t="inlineStr">
        <is>
          <t>P002</t>
        </is>
      </c>
      <c r="B4" s="8" t="inlineStr">
        <is>
          <t>Migratie ERP</t>
        </is>
      </c>
      <c r="C4" s="8" t="inlineStr">
        <is>
          <t>Boschma Groep</t>
        </is>
      </c>
      <c r="D4" s="8" t="inlineStr">
        <is>
          <t>Daan</t>
        </is>
      </c>
      <c r="E4" s="8" t="inlineStr">
        <is>
          <t>Business Analist</t>
        </is>
      </c>
      <c r="F4" s="8" t="inlineStr">
        <is>
          <t>Operations</t>
        </is>
      </c>
      <c r="G4" s="8" t="inlineStr">
        <is>
          <t>Rotterdam</t>
        </is>
      </c>
      <c r="H4" s="21" t="n">
        <v>46034</v>
      </c>
      <c r="I4" s="21" t="n">
        <v>46073</v>
      </c>
      <c r="J4" s="8">
        <f>I4-H4+1</f>
        <v/>
      </c>
      <c r="K4" s="5" t="n">
        <v>6</v>
      </c>
      <c r="L4" s="8">
        <f>J4*K4</f>
        <v/>
      </c>
      <c r="M4" s="22" t="n">
        <v>65</v>
      </c>
      <c r="N4" s="24">
        <f>L4*M4</f>
        <v/>
      </c>
      <c r="O4" s="8">
        <f>IF(AND(TODAY()&gt;=H4,TODAY()&lt;=I4),"Actief",IF(TODAY()&gt;I4,"Afgerond","Gepland"))</f>
        <v/>
      </c>
      <c r="P4" s="8" t="inlineStr">
        <is>
          <t>Midden</t>
        </is>
      </c>
      <c r="Q4" s="8" t="n">
        <v>32</v>
      </c>
      <c r="R4" s="8">
        <f>IF(L4&gt;(Q4*ROUNDUP(J4/7,0)),"Ja","Nee")</f>
        <v/>
      </c>
      <c r="S4" s="8" t="inlineStr">
        <is>
          <t>Analyse bestaande processen</t>
        </is>
      </c>
    </row>
    <row r="5">
      <c r="A5" s="3" t="inlineStr">
        <is>
          <t>P003</t>
        </is>
      </c>
      <c r="B5" s="3" t="inlineStr">
        <is>
          <t>Website Redesign</t>
        </is>
      </c>
      <c r="C5" s="3" t="inlineStr">
        <is>
          <t>Visser Retail</t>
        </is>
      </c>
      <c r="D5" s="3" t="inlineStr">
        <is>
          <t>Emma</t>
        </is>
      </c>
      <c r="E5" s="3" t="inlineStr">
        <is>
          <t>Developer</t>
        </is>
      </c>
      <c r="F5" s="3" t="inlineStr">
        <is>
          <t>IT</t>
        </is>
      </c>
      <c r="G5" s="3" t="inlineStr">
        <is>
          <t>Utrecht</t>
        </is>
      </c>
      <c r="H5" s="21" t="n">
        <v>46054</v>
      </c>
      <c r="I5" s="21" t="n">
        <v>46096</v>
      </c>
      <c r="J5" s="3">
        <f>I5-H5+1</f>
        <v/>
      </c>
      <c r="K5" s="5" t="n">
        <v>8</v>
      </c>
      <c r="L5" s="3">
        <f>J5*K5</f>
        <v/>
      </c>
      <c r="M5" s="22" t="n">
        <v>110</v>
      </c>
      <c r="N5" s="23">
        <f>L5*M5</f>
        <v/>
      </c>
      <c r="O5" s="3">
        <f>IF(AND(TODAY()&gt;=H5,TODAY()&lt;=I5),"Actief",IF(TODAY()&gt;I5,"Afgerond","Gepland"))</f>
        <v/>
      </c>
      <c r="P5" s="3" t="inlineStr">
        <is>
          <t>Midden</t>
        </is>
      </c>
      <c r="Q5" s="3" t="n">
        <v>40</v>
      </c>
      <c r="R5" s="3">
        <f>IF(L5&gt;(Q5*ROUNDUP(J5/7,0)),"Ja","Nee")</f>
        <v/>
      </c>
      <c r="S5" s="3" t="inlineStr">
        <is>
          <t>Front-end vernieuwing</t>
        </is>
      </c>
    </row>
    <row r="6">
      <c r="A6" s="8" t="inlineStr">
        <is>
          <t>P004</t>
        </is>
      </c>
      <c r="B6" s="8" t="inlineStr">
        <is>
          <t>Data-analyse Klant</t>
        </is>
      </c>
      <c r="C6" s="8" t="inlineStr">
        <is>
          <t>MediCare NL</t>
        </is>
      </c>
      <c r="D6" s="8" t="inlineStr">
        <is>
          <t>Lars</t>
        </is>
      </c>
      <c r="E6" s="8" t="inlineStr">
        <is>
          <t>Consultant</t>
        </is>
      </c>
      <c r="F6" s="8" t="inlineStr">
        <is>
          <t>Finance</t>
        </is>
      </c>
      <c r="G6" s="8" t="inlineStr">
        <is>
          <t>Eindhoven</t>
        </is>
      </c>
      <c r="H6" s="21" t="n">
        <v>46091</v>
      </c>
      <c r="I6" s="21" t="n">
        <v>46106</v>
      </c>
      <c r="J6" s="8">
        <f>I6-H6+1</f>
        <v/>
      </c>
      <c r="K6" s="5" t="n">
        <v>4</v>
      </c>
      <c r="L6" s="8">
        <f>J6*K6</f>
        <v/>
      </c>
      <c r="M6" s="22" t="n">
        <v>85</v>
      </c>
      <c r="N6" s="24">
        <f>L6*M6</f>
        <v/>
      </c>
      <c r="O6" s="8">
        <f>IF(AND(TODAY()&gt;=H6,TODAY()&lt;=I6),"Actief",IF(TODAY()&gt;I6,"Afgerond","Gepland"))</f>
        <v/>
      </c>
      <c r="P6" s="8" t="inlineStr">
        <is>
          <t>Laag</t>
        </is>
      </c>
      <c r="Q6" s="8" t="n">
        <v>24</v>
      </c>
      <c r="R6" s="8">
        <f>IF(L6&gt;(Q6*ROUNDUP(J6/7,0)),"Ja","Nee")</f>
        <v/>
      </c>
      <c r="S6" s="8" t="inlineStr">
        <is>
          <t>Rapportage kwartaal 1</t>
        </is>
      </c>
    </row>
    <row r="7">
      <c r="A7" s="3" t="inlineStr">
        <is>
          <t>P005</t>
        </is>
      </c>
      <c r="B7" s="3" t="inlineStr">
        <is>
          <t>Support Sprint Q1</t>
        </is>
      </c>
      <c r="C7" s="3" t="inlineStr">
        <is>
          <t>FinancePro</t>
        </is>
      </c>
      <c r="D7" s="3" t="inlineStr">
        <is>
          <t>Sophie</t>
        </is>
      </c>
      <c r="E7" s="3" t="inlineStr">
        <is>
          <t>Data-analist</t>
        </is>
      </c>
      <c r="F7" s="3" t="inlineStr">
        <is>
          <t>Marketing</t>
        </is>
      </c>
      <c r="G7" s="3" t="inlineStr">
        <is>
          <t>Groningen</t>
        </is>
      </c>
      <c r="H7" s="21" t="n">
        <v>46113</v>
      </c>
      <c r="I7" s="21" t="n">
        <v>46142</v>
      </c>
      <c r="J7" s="3">
        <f>I7-H7+1</f>
        <v/>
      </c>
      <c r="K7" s="5" t="n">
        <v>8</v>
      </c>
      <c r="L7" s="3">
        <f>J7*K7</f>
        <v/>
      </c>
      <c r="M7" s="22" t="n">
        <v>75</v>
      </c>
      <c r="N7" s="23">
        <f>L7*M7</f>
        <v/>
      </c>
      <c r="O7" s="3">
        <f>IF(AND(TODAY()&gt;=H7,TODAY()&lt;=I7),"Actief",IF(TODAY()&gt;I7,"Afgerond","Gepland"))</f>
        <v/>
      </c>
      <c r="P7" s="3" t="inlineStr">
        <is>
          <t>Midden</t>
        </is>
      </c>
      <c r="Q7" s="3" t="n">
        <v>40</v>
      </c>
      <c r="R7" s="3">
        <f>IF(L7&gt;(Q7*ROUNDUP(J7/7,0)),"Ja","Nee")</f>
        <v/>
      </c>
      <c r="S7" s="3" t="inlineStr">
        <is>
          <t>Doorlopende supportwerkzaamheden</t>
        </is>
      </c>
    </row>
    <row r="8">
      <c r="A8" s="8" t="inlineStr">
        <is>
          <t>P006</t>
        </is>
      </c>
      <c r="B8" s="8" t="inlineStr">
        <is>
          <t>Implementatie CRM Fase 2</t>
        </is>
      </c>
      <c r="C8" s="8" t="inlineStr">
        <is>
          <t>TechNL BV</t>
        </is>
      </c>
      <c r="D8" s="8" t="inlineStr">
        <is>
          <t>Bram</t>
        </is>
      </c>
      <c r="E8" s="8" t="inlineStr">
        <is>
          <t>Developer</t>
        </is>
      </c>
      <c r="F8" s="8" t="inlineStr">
        <is>
          <t>IT</t>
        </is>
      </c>
      <c r="G8" s="8" t="inlineStr">
        <is>
          <t>Den Haag</t>
        </is>
      </c>
      <c r="H8" s="21" t="n">
        <v>46127</v>
      </c>
      <c r="I8" s="21" t="n">
        <v>46188</v>
      </c>
      <c r="J8" s="8">
        <f>I8-H8+1</f>
        <v/>
      </c>
      <c r="K8" s="5" t="n">
        <v>8</v>
      </c>
      <c r="L8" s="8">
        <f>J8*K8</f>
        <v/>
      </c>
      <c r="M8" s="22" t="n">
        <v>145</v>
      </c>
      <c r="N8" s="24">
        <f>L8*M8</f>
        <v/>
      </c>
      <c r="O8" s="8">
        <f>IF(AND(TODAY()&gt;=H8,TODAY()&lt;=I8),"Actief",IF(TODAY()&gt;I8,"Afgerond","Gepland"))</f>
        <v/>
      </c>
      <c r="P8" s="8" t="inlineStr">
        <is>
          <t>Hoog</t>
        </is>
      </c>
      <c r="Q8" s="8" t="n">
        <v>40</v>
      </c>
      <c r="R8" s="8">
        <f>IF(L8&gt;(Q8*ROUNDUP(J8/7,0)),"Ja","Nee")</f>
        <v/>
      </c>
      <c r="S8" s="8" t="inlineStr">
        <is>
          <t>Koppelingen en maatwerk</t>
        </is>
      </c>
    </row>
    <row r="9">
      <c r="A9" s="3" t="inlineStr">
        <is>
          <t>P007</t>
        </is>
      </c>
      <c r="B9" s="3" t="inlineStr">
        <is>
          <t>ERP Upgrade</t>
        </is>
      </c>
      <c r="C9" s="3" t="inlineStr">
        <is>
          <t>LogistiekPlus</t>
        </is>
      </c>
      <c r="D9" s="3" t="inlineStr">
        <is>
          <t>Julia</t>
        </is>
      </c>
      <c r="E9" s="3" t="inlineStr">
        <is>
          <t>Projectmanager</t>
        </is>
      </c>
      <c r="F9" s="3" t="inlineStr">
        <is>
          <t>Operations</t>
        </is>
      </c>
      <c r="G9" s="3" t="inlineStr">
        <is>
          <t>Tilburg</t>
        </is>
      </c>
      <c r="H9" s="21" t="n">
        <v>46143</v>
      </c>
      <c r="I9" s="21" t="n">
        <v>46152</v>
      </c>
      <c r="J9" s="3">
        <f>I9-H9+1</f>
        <v/>
      </c>
      <c r="K9" s="5" t="n">
        <v>6</v>
      </c>
      <c r="L9" s="3">
        <f>J9*K9</f>
        <v/>
      </c>
      <c r="M9" s="22" t="n">
        <v>95</v>
      </c>
      <c r="N9" s="23">
        <f>L9*M9</f>
        <v/>
      </c>
      <c r="O9" s="3">
        <f>IF(AND(TODAY()&gt;=H9,TODAY()&lt;=I9),"Actief",IF(TODAY()&gt;I9,"Afgerond","Gepland"))</f>
        <v/>
      </c>
      <c r="P9" s="3" t="inlineStr">
        <is>
          <t>Hoog</t>
        </is>
      </c>
      <c r="Q9" s="3" t="n">
        <v>32</v>
      </c>
      <c r="R9" s="3">
        <f>IF(L9&gt;(Q9*ROUNDUP(J9/7,0)),"Ja","Nee")</f>
        <v/>
      </c>
      <c r="S9" s="3" t="inlineStr">
        <is>
          <t>Versie-upgrade en testen</t>
        </is>
      </c>
    </row>
    <row r="10">
      <c r="A10" s="8" t="inlineStr">
        <is>
          <t>P008</t>
        </is>
      </c>
      <c r="B10" s="8" t="inlineStr">
        <is>
          <t>Website Onderhoud</t>
        </is>
      </c>
      <c r="C10" s="8" t="inlineStr">
        <is>
          <t>ZorgGroep Oost</t>
        </is>
      </c>
      <c r="D10" s="8" t="inlineStr">
        <is>
          <t>Thijs</t>
        </is>
      </c>
      <c r="E10" s="8" t="inlineStr">
        <is>
          <t>Consultant</t>
        </is>
      </c>
      <c r="F10" s="8" t="inlineStr">
        <is>
          <t>Finance</t>
        </is>
      </c>
      <c r="G10" s="8" t="inlineStr">
        <is>
          <t>Nijmegen</t>
        </is>
      </c>
      <c r="H10" s="21" t="n">
        <v>46174</v>
      </c>
      <c r="I10" s="21" t="n">
        <v>46223</v>
      </c>
      <c r="J10" s="8">
        <f>I10-H10+1</f>
        <v/>
      </c>
      <c r="K10" s="5" t="n">
        <v>4</v>
      </c>
      <c r="L10" s="8">
        <f>J10*K10</f>
        <v/>
      </c>
      <c r="M10" s="22" t="n">
        <v>80</v>
      </c>
      <c r="N10" s="24">
        <f>L10*M10</f>
        <v/>
      </c>
      <c r="O10" s="8">
        <f>IF(AND(TODAY()&gt;=H10,TODAY()&lt;=I10),"Actief",IF(TODAY()&gt;I10,"Afgerond","Gepland"))</f>
        <v/>
      </c>
      <c r="P10" s="8" t="inlineStr">
        <is>
          <t>Laag</t>
        </is>
      </c>
      <c r="Q10" s="8" t="n">
        <v>24</v>
      </c>
      <c r="R10" s="8">
        <f>IF(L10&gt;(Q10*ROUNDUP(J10/7,0)),"Ja","Nee")</f>
        <v/>
      </c>
      <c r="S10" s="8" t="inlineStr">
        <is>
          <t>Maandelijks onderhoudscontract</t>
        </is>
      </c>
    </row>
    <row r="11">
      <c r="A11" s="3" t="inlineStr">
        <is>
          <t>P009</t>
        </is>
      </c>
      <c r="B11" s="3" t="inlineStr">
        <is>
          <t>Data Migratie Cloud</t>
        </is>
      </c>
      <c r="C11" s="3" t="inlineStr">
        <is>
          <t>RetailMax</t>
        </is>
      </c>
      <c r="D11" s="3" t="inlineStr">
        <is>
          <t>Lieke</t>
        </is>
      </c>
      <c r="E11" s="3" t="inlineStr">
        <is>
          <t>Developer</t>
        </is>
      </c>
      <c r="F11" s="3" t="inlineStr">
        <is>
          <t>IT</t>
        </is>
      </c>
      <c r="G11" s="3" t="inlineStr">
        <is>
          <t>Breda</t>
        </is>
      </c>
      <c r="H11" s="21" t="n">
        <v>46235</v>
      </c>
      <c r="I11" s="21" t="n">
        <v>46295</v>
      </c>
      <c r="J11" s="3">
        <f>I11-H11+1</f>
        <v/>
      </c>
      <c r="K11" s="5" t="n">
        <v>8</v>
      </c>
      <c r="L11" s="3">
        <f>J11*K11</f>
        <v/>
      </c>
      <c r="M11" s="22" t="n">
        <v>105</v>
      </c>
      <c r="N11" s="23">
        <f>L11*M11</f>
        <v/>
      </c>
      <c r="O11" s="3">
        <f>IF(AND(TODAY()&gt;=H11,TODAY()&lt;=I11),"Actief",IF(TODAY()&gt;I11,"Afgerond","Gepland"))</f>
        <v/>
      </c>
      <c r="P11" s="3" t="inlineStr">
        <is>
          <t>Hoog</t>
        </is>
      </c>
      <c r="Q11" s="3" t="n">
        <v>40</v>
      </c>
      <c r="R11" s="3">
        <f>IF(L11&gt;(Q11*ROUNDUP(J11/7,0)),"Ja","Nee")</f>
        <v/>
      </c>
      <c r="S11" s="3" t="inlineStr">
        <is>
          <t>Migratie naar cloudomgeving</t>
        </is>
      </c>
    </row>
    <row r="12">
      <c r="A12" s="8" t="inlineStr">
        <is>
          <t>P010</t>
        </is>
      </c>
      <c r="B12" s="8" t="inlineStr">
        <is>
          <t>Supportcontract Uitbreiding</t>
        </is>
      </c>
      <c r="C12" s="8" t="inlineStr">
        <is>
          <t>Bouwbedrijf de Vries</t>
        </is>
      </c>
      <c r="D12" s="8" t="inlineStr">
        <is>
          <t>Ruben</t>
        </is>
      </c>
      <c r="E12" s="8" t="inlineStr">
        <is>
          <t>Business Analist</t>
        </is>
      </c>
      <c r="F12" s="8" t="inlineStr">
        <is>
          <t>Marketing</t>
        </is>
      </c>
      <c r="G12" s="8" t="inlineStr">
        <is>
          <t>Haarlem</t>
        </is>
      </c>
      <c r="H12" s="21" t="n">
        <v>46280</v>
      </c>
      <c r="I12" s="21" t="n">
        <v>46305</v>
      </c>
      <c r="J12" s="8">
        <f>I12-H12+1</f>
        <v/>
      </c>
      <c r="K12" s="5" t="n">
        <v>5</v>
      </c>
      <c r="L12" s="8">
        <f>J12*K12</f>
        <v/>
      </c>
      <c r="M12" s="22" t="n">
        <v>65</v>
      </c>
      <c r="N12" s="24">
        <f>L12*M12</f>
        <v/>
      </c>
      <c r="O12" s="8">
        <f>IF(AND(TODAY()&gt;=H12,TODAY()&lt;=I12),"Actief",IF(TODAY()&gt;I12,"Afgerond","Gepland"))</f>
        <v/>
      </c>
      <c r="P12" s="8" t="inlineStr">
        <is>
          <t>Midden</t>
        </is>
      </c>
      <c r="Q12" s="8" t="n">
        <v>20</v>
      </c>
      <c r="R12" s="8">
        <f>IF(L12&gt;(Q12*ROUNDUP(J12/7,0)),"Ja","Nee")</f>
        <v/>
      </c>
      <c r="S12" s="8" t="inlineStr">
        <is>
          <t>Uitbreiding bestaand contract</t>
        </is>
      </c>
    </row>
  </sheetData>
  <mergeCells count="1">
    <mergeCell ref="A1:S1"/>
  </mergeCells>
  <conditionalFormatting sqref="R3:R12">
    <cfRule type="expression" priority="1" dxfId="0" stopIfTrue="1">
      <formula>$R3="Ja"</formula>
    </cfRule>
  </conditionalFormatting>
  <conditionalFormatting sqref="O3:O12">
    <cfRule type="expression" priority="2" dxfId="1" stopIfTrue="1">
      <formula>$O3="Actief"</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12"/>
  <sheetViews>
    <sheetView workbookViewId="0">
      <pane ySplit="2" topLeftCell="A3" activePane="bottomLeft" state="frozen"/>
      <selection pane="bottomLeft" activeCell="A1" sqref="A1"/>
    </sheetView>
  </sheetViews>
  <sheetFormatPr baseColWidth="8" defaultRowHeight="15"/>
  <cols>
    <col width="12" customWidth="1" min="1" max="1"/>
    <col width="18" customWidth="1" min="2" max="2"/>
    <col width="16" customWidth="1" min="3" max="3"/>
    <col width="22" customWidth="1" min="4" max="4"/>
    <col width="20" customWidth="1" min="5" max="5"/>
    <col width="16" customWidth="1" min="6" max="6"/>
    <col width="16" customWidth="1" min="7" max="7"/>
    <col width="14" customWidth="1" min="8" max="8"/>
    <col width="24" customWidth="1" min="9" max="9"/>
    <col width="22" customWidth="1" min="11" max="11"/>
  </cols>
  <sheetData>
    <row r="1" ht="26" customHeight="1">
      <c r="A1" s="1" t="inlineStr">
        <is>
          <t>Capaciteitsoverzicht per Resource</t>
        </is>
      </c>
      <c r="K1" s="10" t="inlineStr">
        <is>
          <t>Aantal weken (periode)</t>
        </is>
      </c>
    </row>
    <row r="2">
      <c r="A2" s="2" t="inlineStr">
        <is>
          <t>Resource</t>
        </is>
      </c>
      <c r="B2" s="2" t="inlineStr">
        <is>
          <t>Rol</t>
        </is>
      </c>
      <c r="C2" s="2" t="inlineStr">
        <is>
          <t>Team / Afdeling</t>
        </is>
      </c>
      <c r="D2" s="2" t="inlineStr">
        <is>
          <t>Beschikbare uren per week</t>
        </is>
      </c>
      <c r="E2" s="2" t="inlineStr">
        <is>
          <t>Geplande uren per week</t>
        </is>
      </c>
      <c r="F2" s="2" t="inlineStr">
        <is>
          <t>Bezettingsgraad</t>
        </is>
      </c>
      <c r="G2" s="2" t="inlineStr">
        <is>
          <t>Vrije capaciteit</t>
        </is>
      </c>
      <c r="H2" s="2" t="inlineStr">
        <is>
          <t>Risiconiveau</t>
        </is>
      </c>
      <c r="I2" s="2" t="inlineStr">
        <is>
          <t>Advies</t>
        </is>
      </c>
      <c r="K2" s="11" t="n">
        <v>4</v>
      </c>
    </row>
    <row r="3">
      <c r="A3" s="3" t="inlineStr">
        <is>
          <t>Sanne</t>
        </is>
      </c>
      <c r="B3" s="3" t="inlineStr">
        <is>
          <t>Projectmanager</t>
        </is>
      </c>
      <c r="C3" s="3" t="inlineStr">
        <is>
          <t>IT</t>
        </is>
      </c>
      <c r="D3" s="3" t="n">
        <v>40</v>
      </c>
      <c r="E3" s="3">
        <f>SUMIF(Planning!D:D,A3,Planning!L:L)/$K$2</f>
        <v/>
      </c>
      <c r="F3" s="12">
        <f>IFERROR(E3/D3,0)</f>
        <v/>
      </c>
      <c r="G3" s="3">
        <f>D3-E3</f>
        <v/>
      </c>
      <c r="H3" s="3">
        <f>IF(F3&gt;1,"Hoog",IF(F3&gt;=0.85,"Midden","Laag"))</f>
        <v/>
      </c>
      <c r="I3" s="3">
        <f>IF(H3="Hoog","Herverdeel werk",IF(H3="Midden","Monitor capaciteit","Ruimte beschikbaar"))</f>
        <v/>
      </c>
    </row>
    <row r="4">
      <c r="A4" s="8" t="inlineStr">
        <is>
          <t>Daan</t>
        </is>
      </c>
      <c r="B4" s="8" t="inlineStr">
        <is>
          <t>Business Analist</t>
        </is>
      </c>
      <c r="C4" s="8" t="inlineStr">
        <is>
          <t>Operations</t>
        </is>
      </c>
      <c r="D4" s="8" t="n">
        <v>32</v>
      </c>
      <c r="E4" s="8">
        <f>SUMIF(Planning!D:D,A4,Planning!L:L)/$K$2</f>
        <v/>
      </c>
      <c r="F4" s="13">
        <f>IFERROR(E4/D4,0)</f>
        <v/>
      </c>
      <c r="G4" s="8">
        <f>D4-E4</f>
        <v/>
      </c>
      <c r="H4" s="8">
        <f>IF(F4&gt;1,"Hoog",IF(F4&gt;=0.85,"Midden","Laag"))</f>
        <v/>
      </c>
      <c r="I4" s="8">
        <f>IF(H4="Hoog","Herverdeel werk",IF(H4="Midden","Monitor capaciteit","Ruimte beschikbaar"))</f>
        <v/>
      </c>
    </row>
    <row r="5">
      <c r="A5" s="3" t="inlineStr">
        <is>
          <t>Emma</t>
        </is>
      </c>
      <c r="B5" s="3" t="inlineStr">
        <is>
          <t>Developer</t>
        </is>
      </c>
      <c r="C5" s="3" t="inlineStr">
        <is>
          <t>IT</t>
        </is>
      </c>
      <c r="D5" s="3" t="n">
        <v>40</v>
      </c>
      <c r="E5" s="3">
        <f>SUMIF(Planning!D:D,A5,Planning!L:L)/$K$2</f>
        <v/>
      </c>
      <c r="F5" s="12">
        <f>IFERROR(E5/D5,0)</f>
        <v/>
      </c>
      <c r="G5" s="3">
        <f>D5-E5</f>
        <v/>
      </c>
      <c r="H5" s="3">
        <f>IF(F5&gt;1,"Hoog",IF(F5&gt;=0.85,"Midden","Laag"))</f>
        <v/>
      </c>
      <c r="I5" s="3">
        <f>IF(H5="Hoog","Herverdeel werk",IF(H5="Midden","Monitor capaciteit","Ruimte beschikbaar"))</f>
        <v/>
      </c>
    </row>
    <row r="6">
      <c r="A6" s="8" t="inlineStr">
        <is>
          <t>Lars</t>
        </is>
      </c>
      <c r="B6" s="8" t="inlineStr">
        <is>
          <t>Consultant</t>
        </is>
      </c>
      <c r="C6" s="8" t="inlineStr">
        <is>
          <t>Finance</t>
        </is>
      </c>
      <c r="D6" s="8" t="n">
        <v>24</v>
      </c>
      <c r="E6" s="8">
        <f>SUMIF(Planning!D:D,A6,Planning!L:L)/$K$2</f>
        <v/>
      </c>
      <c r="F6" s="13">
        <f>IFERROR(E6/D6,0)</f>
        <v/>
      </c>
      <c r="G6" s="8">
        <f>D6-E6</f>
        <v/>
      </c>
      <c r="H6" s="8">
        <f>IF(F6&gt;1,"Hoog",IF(F6&gt;=0.85,"Midden","Laag"))</f>
        <v/>
      </c>
      <c r="I6" s="8">
        <f>IF(H6="Hoog","Herverdeel werk",IF(H6="Midden","Monitor capaciteit","Ruimte beschikbaar"))</f>
        <v/>
      </c>
    </row>
    <row r="7">
      <c r="A7" s="3" t="inlineStr">
        <is>
          <t>Sophie</t>
        </is>
      </c>
      <c r="B7" s="3" t="inlineStr">
        <is>
          <t>Data-analist</t>
        </is>
      </c>
      <c r="C7" s="3" t="inlineStr">
        <is>
          <t>Marketing</t>
        </is>
      </c>
      <c r="D7" s="3" t="n">
        <v>40</v>
      </c>
      <c r="E7" s="3">
        <f>SUMIF(Planning!D:D,A7,Planning!L:L)/$K$2</f>
        <v/>
      </c>
      <c r="F7" s="12">
        <f>IFERROR(E7/D7,0)</f>
        <v/>
      </c>
      <c r="G7" s="3">
        <f>D7-E7</f>
        <v/>
      </c>
      <c r="H7" s="3">
        <f>IF(F7&gt;1,"Hoog",IF(F7&gt;=0.85,"Midden","Laag"))</f>
        <v/>
      </c>
      <c r="I7" s="3">
        <f>IF(H7="Hoog","Herverdeel werk",IF(H7="Midden","Monitor capaciteit","Ruimte beschikbaar"))</f>
        <v/>
      </c>
    </row>
    <row r="8">
      <c r="A8" s="8" t="inlineStr">
        <is>
          <t>Bram</t>
        </is>
      </c>
      <c r="B8" s="8" t="inlineStr">
        <is>
          <t>Developer</t>
        </is>
      </c>
      <c r="C8" s="8" t="inlineStr">
        <is>
          <t>IT</t>
        </is>
      </c>
      <c r="D8" s="8" t="n">
        <v>40</v>
      </c>
      <c r="E8" s="8">
        <f>SUMIF(Planning!D:D,A8,Planning!L:L)/$K$2</f>
        <v/>
      </c>
      <c r="F8" s="13">
        <f>IFERROR(E8/D8,0)</f>
        <v/>
      </c>
      <c r="G8" s="8">
        <f>D8-E8</f>
        <v/>
      </c>
      <c r="H8" s="8">
        <f>IF(F8&gt;1,"Hoog",IF(F8&gt;=0.85,"Midden","Laag"))</f>
        <v/>
      </c>
      <c r="I8" s="8">
        <f>IF(H8="Hoog","Herverdeel werk",IF(H8="Midden","Monitor capaciteit","Ruimte beschikbaar"))</f>
        <v/>
      </c>
    </row>
    <row r="9">
      <c r="A9" s="3" t="inlineStr">
        <is>
          <t>Julia</t>
        </is>
      </c>
      <c r="B9" s="3" t="inlineStr">
        <is>
          <t>Projectmanager</t>
        </is>
      </c>
      <c r="C9" s="3" t="inlineStr">
        <is>
          <t>Operations</t>
        </is>
      </c>
      <c r="D9" s="3" t="n">
        <v>32</v>
      </c>
      <c r="E9" s="3">
        <f>SUMIF(Planning!D:D,A9,Planning!L:L)/$K$2</f>
        <v/>
      </c>
      <c r="F9" s="12">
        <f>IFERROR(E9/D9,0)</f>
        <v/>
      </c>
      <c r="G9" s="3">
        <f>D9-E9</f>
        <v/>
      </c>
      <c r="H9" s="3">
        <f>IF(F9&gt;1,"Hoog",IF(F9&gt;=0.85,"Midden","Laag"))</f>
        <v/>
      </c>
      <c r="I9" s="3">
        <f>IF(H9="Hoog","Herverdeel werk",IF(H9="Midden","Monitor capaciteit","Ruimte beschikbaar"))</f>
        <v/>
      </c>
    </row>
    <row r="10">
      <c r="A10" s="8" t="inlineStr">
        <is>
          <t>Thijs</t>
        </is>
      </c>
      <c r="B10" s="8" t="inlineStr">
        <is>
          <t>Consultant</t>
        </is>
      </c>
      <c r="C10" s="8" t="inlineStr">
        <is>
          <t>Finance</t>
        </is>
      </c>
      <c r="D10" s="8" t="n">
        <v>24</v>
      </c>
      <c r="E10" s="8">
        <f>SUMIF(Planning!D:D,A10,Planning!L:L)/$K$2</f>
        <v/>
      </c>
      <c r="F10" s="13">
        <f>IFERROR(E10/D10,0)</f>
        <v/>
      </c>
      <c r="G10" s="8">
        <f>D10-E10</f>
        <v/>
      </c>
      <c r="H10" s="8">
        <f>IF(F10&gt;1,"Hoog",IF(F10&gt;=0.85,"Midden","Laag"))</f>
        <v/>
      </c>
      <c r="I10" s="8">
        <f>IF(H10="Hoog","Herverdeel werk",IF(H10="Midden","Monitor capaciteit","Ruimte beschikbaar"))</f>
        <v/>
      </c>
    </row>
    <row r="11">
      <c r="A11" s="3" t="inlineStr">
        <is>
          <t>Lieke</t>
        </is>
      </c>
      <c r="B11" s="3" t="inlineStr">
        <is>
          <t>Developer</t>
        </is>
      </c>
      <c r="C11" s="3" t="inlineStr">
        <is>
          <t>IT</t>
        </is>
      </c>
      <c r="D11" s="3" t="n">
        <v>40</v>
      </c>
      <c r="E11" s="3">
        <f>SUMIF(Planning!D:D,A11,Planning!L:L)/$K$2</f>
        <v/>
      </c>
      <c r="F11" s="12">
        <f>IFERROR(E11/D11,0)</f>
        <v/>
      </c>
      <c r="G11" s="3">
        <f>D11-E11</f>
        <v/>
      </c>
      <c r="H11" s="3">
        <f>IF(F11&gt;1,"Hoog",IF(F11&gt;=0.85,"Midden","Laag"))</f>
        <v/>
      </c>
      <c r="I11" s="3">
        <f>IF(H11="Hoog","Herverdeel werk",IF(H11="Midden","Monitor capaciteit","Ruimte beschikbaar"))</f>
        <v/>
      </c>
    </row>
    <row r="12">
      <c r="A12" s="8" t="inlineStr">
        <is>
          <t>Ruben</t>
        </is>
      </c>
      <c r="B12" s="8" t="inlineStr">
        <is>
          <t>Business Analist</t>
        </is>
      </c>
      <c r="C12" s="8" t="inlineStr">
        <is>
          <t>Marketing</t>
        </is>
      </c>
      <c r="D12" s="8" t="n">
        <v>20</v>
      </c>
      <c r="E12" s="8">
        <f>SUMIF(Planning!D:D,A12,Planning!L:L)/$K$2</f>
        <v/>
      </c>
      <c r="F12" s="13">
        <f>IFERROR(E12/D12,0)</f>
        <v/>
      </c>
      <c r="G12" s="8">
        <f>D12-E12</f>
        <v/>
      </c>
      <c r="H12" s="8">
        <f>IF(F12&gt;1,"Hoog",IF(F12&gt;=0.85,"Midden","Laag"))</f>
        <v/>
      </c>
      <c r="I12" s="8">
        <f>IF(H12="Hoog","Herverdeel werk",IF(H12="Midden","Monitor capaciteit","Ruimte beschikbaar"))</f>
        <v/>
      </c>
    </row>
  </sheetData>
  <mergeCells count="1">
    <mergeCell ref="A1:I1"/>
  </mergeCells>
  <conditionalFormatting sqref="H3:H12">
    <cfRule type="expression" priority="1" dxfId="0" stopIfTrue="1">
      <formula>$H3="Hoog"</formula>
    </cfRule>
    <cfRule type="expression" priority="2" dxfId="2" stopIfTrue="1">
      <formula>$H3="Midden"</formula>
    </cfRule>
    <cfRule type="expression" priority="3" dxfId="1" stopIfTrue="1">
      <formula>$H3="Laag"</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4"/>
  <sheetViews>
    <sheetView workbookViewId="0">
      <selection activeCell="A1" sqref="A1"/>
    </sheetView>
  </sheetViews>
  <sheetFormatPr baseColWidth="8" defaultRowHeight="15"/>
  <cols>
    <col width="14"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s>
  <sheetData>
    <row r="1" ht="28" customHeight="1">
      <c r="A1" s="1" t="inlineStr">
        <is>
          <t>Management Dashboard - Resource Planning 2026</t>
        </is>
      </c>
    </row>
    <row r="2"/>
    <row r="3" ht="18" customHeight="1">
      <c r="A3" s="14" t="inlineStr">
        <is>
          <t>Totaal geplande uren</t>
        </is>
      </c>
      <c r="C3" s="14" t="inlineStr">
        <is>
          <t>Totaal verwachte omzet</t>
        </is>
      </c>
      <c r="E3" s="14" t="inlineStr">
        <is>
          <t>Gemiddelde bezettingsgraad</t>
        </is>
      </c>
      <c r="G3" s="14" t="inlineStr">
        <is>
          <t>Aantal actieve projecten</t>
        </is>
      </c>
      <c r="I3" s="14" t="inlineStr">
        <is>
          <t>Resources met overbelasting</t>
        </is>
      </c>
    </row>
    <row r="4" ht="24" customHeight="1">
      <c r="A4" s="15">
        <f>SUM(Planning!L3:L12)</f>
        <v/>
      </c>
      <c r="C4" s="25">
        <f>SUM(Planning!N3:N12)</f>
        <v/>
      </c>
      <c r="E4" s="17">
        <f>AVERAGE(Capaciteit!F3:F12)</f>
        <v/>
      </c>
      <c r="G4" s="15">
        <f>COUNTIF(Planning!O3:O12,"Actief")</f>
        <v/>
      </c>
      <c r="I4" s="15">
        <f>COUNTIF(Planning!R3:R12,"Ja")</f>
        <v/>
      </c>
    </row>
    <row r="5" ht="18" customHeight="1"/>
    <row r="6"/>
    <row r="7">
      <c r="A7" s="10" t="inlineStr">
        <is>
          <t>Projecten per status</t>
        </is>
      </c>
    </row>
    <row r="8">
      <c r="A8" s="3" t="inlineStr">
        <is>
          <t>Gepland</t>
        </is>
      </c>
      <c r="B8" s="3">
        <f>COUNTIF(Planning!O3:O12,"Gepland")</f>
        <v/>
      </c>
    </row>
    <row r="9">
      <c r="A9" s="8" t="inlineStr">
        <is>
          <t>Actief</t>
        </is>
      </c>
      <c r="B9" s="8">
        <f>COUNTIF(Planning!O3:O12,"Actief")</f>
        <v/>
      </c>
    </row>
    <row r="10">
      <c r="A10" s="3" t="inlineStr">
        <is>
          <t>Afgerond</t>
        </is>
      </c>
      <c r="B10" s="3">
        <f>COUNTIF(Planning!O3:O12,"Afgerond")</f>
        <v/>
      </c>
    </row>
    <row r="11"/>
    <row r="12">
      <c r="A12" s="10" t="inlineStr">
        <is>
          <t>Geplande uren per resource</t>
        </is>
      </c>
      <c r="E12" s="10" t="inlineStr">
        <is>
          <t>Totale geplande uren per maand (2026)</t>
        </is>
      </c>
    </row>
    <row r="13">
      <c r="A13" s="3">
        <f>Capaciteit!A3</f>
        <v/>
      </c>
      <c r="B13" s="3">
        <f>Capaciteit!E3</f>
        <v/>
      </c>
      <c r="E13" s="3" t="inlineStr">
        <is>
          <t>Januari</t>
        </is>
      </c>
      <c r="F13" s="3">
        <f>SUMPRODUCT((MONTH(Planning!$H$3:$H$12)=1)*(Planning!$L$3:$L$12))</f>
        <v/>
      </c>
    </row>
    <row r="14">
      <c r="A14" s="8">
        <f>Capaciteit!A4</f>
        <v/>
      </c>
      <c r="B14" s="8">
        <f>Capaciteit!E4</f>
        <v/>
      </c>
      <c r="E14" s="8" t="inlineStr">
        <is>
          <t>Februari</t>
        </is>
      </c>
      <c r="F14" s="8">
        <f>SUMPRODUCT((MONTH(Planning!$H$3:$H$12)=2)*(Planning!$L$3:$L$12))</f>
        <v/>
      </c>
    </row>
    <row r="15">
      <c r="A15" s="3">
        <f>Capaciteit!A5</f>
        <v/>
      </c>
      <c r="B15" s="3">
        <f>Capaciteit!E5</f>
        <v/>
      </c>
      <c r="E15" s="3" t="inlineStr">
        <is>
          <t>Maart</t>
        </is>
      </c>
      <c r="F15" s="3">
        <f>SUMPRODUCT((MONTH(Planning!$H$3:$H$12)=3)*(Planning!$L$3:$L$12))</f>
        <v/>
      </c>
    </row>
    <row r="16">
      <c r="A16" s="8">
        <f>Capaciteit!A6</f>
        <v/>
      </c>
      <c r="B16" s="8">
        <f>Capaciteit!E6</f>
        <v/>
      </c>
      <c r="E16" s="8" t="inlineStr">
        <is>
          <t>April</t>
        </is>
      </c>
      <c r="F16" s="8">
        <f>SUMPRODUCT((MONTH(Planning!$H$3:$H$12)=4)*(Planning!$L$3:$L$12))</f>
        <v/>
      </c>
    </row>
    <row r="17">
      <c r="A17" s="3">
        <f>Capaciteit!A7</f>
        <v/>
      </c>
      <c r="B17" s="3">
        <f>Capaciteit!E7</f>
        <v/>
      </c>
      <c r="E17" s="3" t="inlineStr">
        <is>
          <t>Mei</t>
        </is>
      </c>
      <c r="F17" s="3">
        <f>SUMPRODUCT((MONTH(Planning!$H$3:$H$12)=5)*(Planning!$L$3:$L$12))</f>
        <v/>
      </c>
    </row>
    <row r="18">
      <c r="A18" s="8">
        <f>Capaciteit!A8</f>
        <v/>
      </c>
      <c r="B18" s="8">
        <f>Capaciteit!E8</f>
        <v/>
      </c>
      <c r="E18" s="8" t="inlineStr">
        <is>
          <t>Juni</t>
        </is>
      </c>
      <c r="F18" s="8">
        <f>SUMPRODUCT((MONTH(Planning!$H$3:$H$12)=6)*(Planning!$L$3:$L$12))</f>
        <v/>
      </c>
    </row>
    <row r="19">
      <c r="A19" s="3">
        <f>Capaciteit!A9</f>
        <v/>
      </c>
      <c r="B19" s="3">
        <f>Capaciteit!E9</f>
        <v/>
      </c>
      <c r="E19" s="3" t="inlineStr">
        <is>
          <t>Juli</t>
        </is>
      </c>
      <c r="F19" s="3">
        <f>SUMPRODUCT((MONTH(Planning!$H$3:$H$12)=7)*(Planning!$L$3:$L$12))</f>
        <v/>
      </c>
    </row>
    <row r="20">
      <c r="A20" s="8">
        <f>Capaciteit!A10</f>
        <v/>
      </c>
      <c r="B20" s="8">
        <f>Capaciteit!E10</f>
        <v/>
      </c>
      <c r="E20" s="8" t="inlineStr">
        <is>
          <t>Augustus</t>
        </is>
      </c>
      <c r="F20" s="8">
        <f>SUMPRODUCT((MONTH(Planning!$H$3:$H$12)=8)*(Planning!$L$3:$L$12))</f>
        <v/>
      </c>
    </row>
    <row r="21">
      <c r="A21" s="3">
        <f>Capaciteit!A11</f>
        <v/>
      </c>
      <c r="B21" s="3">
        <f>Capaciteit!E11</f>
        <v/>
      </c>
      <c r="E21" s="3" t="inlineStr">
        <is>
          <t>September</t>
        </is>
      </c>
      <c r="F21" s="3">
        <f>SUMPRODUCT((MONTH(Planning!$H$3:$H$12)=9)*(Planning!$L$3:$L$12))</f>
        <v/>
      </c>
    </row>
    <row r="22">
      <c r="A22" s="8">
        <f>Capaciteit!A12</f>
        <v/>
      </c>
      <c r="B22" s="8">
        <f>Capaciteit!E12</f>
        <v/>
      </c>
      <c r="E22" s="8" t="inlineStr">
        <is>
          <t>Oktober</t>
        </is>
      </c>
      <c r="F22" s="8">
        <f>SUMPRODUCT((MONTH(Planning!$H$3:$H$12)=10)*(Planning!$L$3:$L$12))</f>
        <v/>
      </c>
    </row>
    <row r="23">
      <c r="E23" s="3" t="inlineStr">
        <is>
          <t>November</t>
        </is>
      </c>
      <c r="F23" s="3">
        <f>SUMPRODUCT((MONTH(Planning!$H$3:$H$12)=11)*(Planning!$L$3:$L$12))</f>
        <v/>
      </c>
    </row>
    <row r="24">
      <c r="E24" s="8" t="inlineStr">
        <is>
          <t>December</t>
        </is>
      </c>
      <c r="F24" s="8">
        <f>SUMPRODUCT((MONTH(Planning!$H$3:$H$12)=12)*(Planning!$L$3:$L$12))</f>
        <v/>
      </c>
    </row>
  </sheetData>
  <mergeCells count="14">
    <mergeCell ref="A1:H1"/>
    <mergeCell ref="A3:B3"/>
    <mergeCell ref="A4:B5"/>
    <mergeCell ref="C3:D3"/>
    <mergeCell ref="C4:D5"/>
    <mergeCell ref="E3:F3"/>
    <mergeCell ref="E4:F5"/>
    <mergeCell ref="G3:H3"/>
    <mergeCell ref="G4:H5"/>
    <mergeCell ref="I3:J3"/>
    <mergeCell ref="I4:J5"/>
    <mergeCell ref="A7:B7"/>
    <mergeCell ref="A12:C12"/>
    <mergeCell ref="E12:F12"/>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8" customWidth="1" min="1" max="1"/>
    <col width="90" customWidth="1" min="2" max="2"/>
  </cols>
  <sheetData>
    <row r="1" ht="26" customHeight="1">
      <c r="A1" s="1" t="inlineStr">
        <is>
          <t>Instructies - Resource Planning Sjabloon</t>
        </is>
      </c>
    </row>
    <row r="2"/>
    <row r="3" ht="60" customHeight="1">
      <c r="A3" s="18" t="inlineStr">
        <is>
          <t>Nieuwe projectregel toevoegen</t>
        </is>
      </c>
      <c r="B3" s="19" t="inlineStr">
        <is>
          <t>Ga naar het tabblad 'Planning' en voeg een nieuwe rij toe onderaan de tabel. Vul projectcode, projectnaam, klant, resource, rol, team, stad, startdatum, einddatum, uren per dag, tarief per uur en beschikbare uren per week in. De overige kolommen (aantal dagen, totaal uren, totale waarde, status en overbelasting) worden automatisch berekend met formules.</t>
        </is>
      </c>
    </row>
    <row r="4" ht="60" customHeight="1">
      <c r="A4" s="18" t="inlineStr">
        <is>
          <t>Statuswaarden</t>
        </is>
      </c>
      <c r="B4" s="20" t="inlineStr">
        <is>
          <t>'Gepland' betekent dat de startdatum nog in de toekomst ligt. 'Actief' betekent dat de huidige datum tussen start- en einddatum valt. 'Afgerond' betekent dat de einddatum al is gepasseerd. Dit wordt automatisch berekend op basis van de datum van vandaag.</t>
        </is>
      </c>
    </row>
    <row r="5" ht="60" customHeight="1">
      <c r="A5" s="18" t="inlineStr">
        <is>
          <t>Bezettingsgraad en overbelasting</t>
        </is>
      </c>
      <c r="B5" s="19" t="inlineStr">
        <is>
          <t>De bezettingsgraad op het tabblad 'Capaciteit' geeft aan welk percentage van de beschikbare uren per week daadwerkelijk is ingepland. Boven de 100% is er sprake van overbelasting (Hoog risico). Tussen 85% en 100% is het risiconiveau 'Midden'. Onder 85% is het risiconiveau 'Laag'. Op het tabblad 'Planning' geeft de kolom 'Overbelasting?' aan of een individuele resource-inzet boven de beschikbare capaciteit uitkomt voor de duur van het project.</t>
        </is>
      </c>
    </row>
    <row r="6" ht="60" customHeight="1">
      <c r="A6" s="18" t="inlineStr">
        <is>
          <t>Datumnotatie</t>
        </is>
      </c>
      <c r="B6" s="20" t="inlineStr">
        <is>
          <t>Alle datums in dit sjabloon moeten worden ingevoerd in de Nederlandse notatie DD-MM-JJJJ, bijvoorbeeld 15-03-2026.</t>
        </is>
      </c>
    </row>
    <row r="7" ht="60" customHeight="1">
      <c r="A7" s="18" t="inlineStr">
        <is>
          <t>Valuta en BTW</t>
        </is>
      </c>
      <c r="B7" s="19" t="inlineStr">
        <is>
          <t>Alle bedragen zijn weergegeven in euro's volgens de Nederlandse notatie, bijvoorbeeld € 1.234,56. Genoemde tarieven en waarden zijn exclusief BTW, tenzij anders vermeld. Houd bij facturatie rekening met het geldende BTW-tarief.</t>
        </is>
      </c>
    </row>
    <row r="8" ht="60" customHeight="1">
      <c r="A8" s="18" t="inlineStr">
        <is>
          <t>Geen sheetbeveiliging</t>
        </is>
      </c>
      <c r="B8" s="20" t="inlineStr">
        <is>
          <t>Dit werkblad bevat geen sheetbeveiliging of celbeveiliging. Alle cellen zijn vrij te bewerken. Wees voorzichtig met het overschrijven van formules in de berekende kolommen (bijvoorbeeld 'Aantal dagen', 'Totaal uren', 'Totale waarde', 'Status' en 'Overbelasting?').</t>
        </is>
      </c>
    </row>
    <row r="9" ht="60" customHeight="1">
      <c r="A9" s="18" t="inlineStr">
        <is>
          <t>Invoervelden</t>
        </is>
      </c>
      <c r="B9" s="19" t="inlineStr">
        <is>
          <t>Cellen met een lichtgele achtergrond zijn bedoeld als invoervelden, zoals start- en einddatum, uren per dag en tarief per uur. Overige cellen bevatten formules en hoeven normaliter niet handmatig te worden aangepast.</t>
        </is>
      </c>
    </row>
  </sheetData>
  <mergeCells count="8">
    <mergeCell ref="A1:B1"/>
    <mergeCell ref="A3"/>
    <mergeCell ref="A4"/>
    <mergeCell ref="A5"/>
    <mergeCell ref="A6"/>
    <mergeCell ref="A7"/>
    <mergeCell ref="A8"/>
    <mergeCell ref="A9"/>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2026-07-02T21:35:52Z</dcterms:created>
  <dcterms:modified xmlns:dcterms="http://purl.org/dc/terms/" xmlns:xsi="http://www.w3.org/2001/XMLSchema-instance" xsi:type="dcterms:W3CDTF">2026-07-02T21:35:52Z</dcterms:modified>
</cp:coreProperties>
</file>