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orraadmutaties" sheetId="1" state="visible" r:id="rId1"/>
    <sheet xmlns:r="http://schemas.openxmlformats.org/officeDocument/2006/relationships" name="FIFO_Berekenin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yyyy"/>
    <numFmt numFmtId="165" formatCode="#.##0"/>
    <numFmt numFmtId="166" formatCode="&quot;€&quot; #.##0,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1E293B"/>
      <sz val="16"/>
    </font>
    <font>
      <b val="1"/>
    </font>
    <font>
      <sz val="11"/>
    </font>
    <font>
      <b val="1"/>
      <color rgb="001E293B"/>
      <sz val="12"/>
    </font>
    <font>
      <b val="1"/>
      <color rgb="00DC2626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pivotButton="0" quotePrefix="0" xfId="0"/>
    <xf numFmtId="164" fontId="0" fillId="3" borderId="1" pivotButton="0" quotePrefix="0" xfId="0"/>
    <xf numFmtId="165" fontId="0" fillId="4" borderId="1" pivotButton="0" quotePrefix="0" xfId="0"/>
    <xf numFmtId="166" fontId="0" fillId="4" borderId="1" pivotButton="0" quotePrefix="0" xfId="0"/>
    <xf numFmtId="9" fontId="0" fillId="4" borderId="1" pivotButton="0" quotePrefix="0" xfId="0"/>
    <xf numFmtId="166" fontId="0" fillId="3" borderId="1" pivotButton="0" quotePrefix="0" xfId="0"/>
    <xf numFmtId="165" fontId="0" fillId="3" borderId="1" pivotButton="0" quotePrefix="0" xfId="0"/>
    <xf numFmtId="0" fontId="0" fillId="5" borderId="1" pivotButton="0" quotePrefix="0" xfId="0"/>
    <xf numFmtId="164" fontId="0" fillId="5" borderId="1" pivotButton="0" quotePrefix="0" xfId="0"/>
    <xf numFmtId="166" fontId="0" fillId="5" borderId="1" pivotButton="0" quotePrefix="0" xfId="0"/>
    <xf numFmtId="165" fontId="0" fillId="5" borderId="1" pivotButton="0" quotePrefix="0" xfId="0"/>
    <xf numFmtId="0" fontId="2" fillId="0" borderId="0" applyAlignment="1" pivotButton="0" quotePrefix="0" xfId="0">
      <alignment horizontal="left" vertical="center"/>
    </xf>
    <xf numFmtId="0" fontId="1" fillId="6" borderId="0" applyAlignment="1" pivotButton="0" quotePrefix="0" xfId="0">
      <alignment horizontal="center" vertical="center"/>
    </xf>
    <xf numFmtId="0" fontId="0" fillId="6" borderId="0" pivotButton="0" quotePrefix="0" xfId="0"/>
    <xf numFmtId="0" fontId="3" fillId="3" borderId="1" pivotButton="0" quotePrefix="0" xfId="0"/>
    <xf numFmtId="0" fontId="3" fillId="5" borderId="1" pivotButton="0" quotePrefix="0" xfId="0"/>
    <xf numFmtId="9" fontId="0" fillId="3" borderId="1" pivotButton="0" quotePrefix="0" xfId="0"/>
    <xf numFmtId="0" fontId="0" fillId="4" borderId="1" pivotButton="0" quotePrefix="0" xfId="0"/>
    <xf numFmtId="0" fontId="1" fillId="2" borderId="1" pivotButton="0" quotePrefix="0" xfId="0"/>
    <xf numFmtId="0" fontId="2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164" fontId="0" fillId="3" borderId="1" pivotButton="0" quotePrefix="0" xfId="0"/>
    <xf numFmtId="165" fontId="0" fillId="4" borderId="1" pivotButton="0" quotePrefix="0" xfId="0"/>
    <xf numFmtId="166" fontId="0" fillId="4" borderId="1" pivotButton="0" quotePrefix="0" xfId="0"/>
    <xf numFmtId="166" fontId="0" fillId="3" borderId="1" pivotButton="0" quotePrefix="0" xfId="0"/>
    <xf numFmtId="165" fontId="0" fillId="3" borderId="1" pivotButton="0" quotePrefix="0" xfId="0"/>
    <xf numFmtId="164" fontId="0" fillId="5" borderId="1" pivotButton="0" quotePrefix="0" xfId="0"/>
    <xf numFmtId="166" fontId="0" fillId="5" borderId="1" pivotButton="0" quotePrefix="0" xfId="0"/>
    <xf numFmtId="165" fontId="0" fillId="5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Voorraadwaarde per categorie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'Dashboard'!$B$14:$B$18</f>
            </numRef>
          </cat>
          <val>
            <numRef>
              <f>'Dashboard'!$C$14:$C$18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Waarde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Aandeel voorraadwaarde per categorie</a:t>
            </a:r>
          </a:p>
        </rich>
      </tx>
    </title>
    <plotArea>
      <pieChart>
        <varyColors val="1"/>
        <ser>
          <idx val="0"/>
          <order val="0"/>
          <tx>
            <strRef>
              <f>'Dashboard'!C13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'Dashboard'!$B$14:$B$18</f>
            </numRef>
          </cat>
          <val>
            <numRef>
              <f>'Dashboard'!$C$14:$C$18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Voorraadwaardeontwikkeling per maand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'Dashboard'!C21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'Dashboard'!$B$22:$B$24</f>
            </numRef>
          </cat>
          <val>
            <numRef>
              <f>'Dashboard'!$C$22:$C$24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Waarde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36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1" customWidth="1" min="3" max="3"/>
    <col width="18" customWidth="1" min="4" max="4"/>
    <col width="15" customWidth="1" min="5" max="5"/>
    <col width="26" customWidth="1" min="6" max="6"/>
    <col width="15" customWidth="1" min="7" max="7"/>
    <col width="12" customWidth="1" min="8" max="8"/>
    <col width="9" customWidth="1" min="9" max="9"/>
    <col width="9" customWidth="1" min="10" max="10"/>
    <col width="13" customWidth="1" min="11" max="11"/>
    <col width="14" customWidth="1" min="12" max="12"/>
    <col width="10" customWidth="1" min="13" max="13"/>
    <col width="15" customWidth="1" min="14" max="14"/>
    <col width="15" customWidth="1" min="15" max="15"/>
    <col width="16" customWidth="1" min="16" max="16"/>
    <col width="13" customWidth="1" min="17" max="17"/>
    <col width="14" customWidth="1" min="18" max="18"/>
    <col width="30" customWidth="1" min="19" max="19"/>
    <col width="9" customWidth="1" min="20" max="20"/>
    <col width="7" customWidth="1" min="21" max="21"/>
    <col width="9" customWidth="1" min="22" max="22"/>
    <col width="12" customWidth="1" min="23" max="23"/>
  </cols>
  <sheetData>
    <row r="1">
      <c r="A1" s="1" t="inlineStr">
        <is>
          <t>Mutatie-ID</t>
        </is>
      </c>
      <c r="B1" s="1" t="inlineStr">
        <is>
          <t>Datum</t>
        </is>
      </c>
      <c r="C1" s="1" t="inlineStr">
        <is>
          <t>Artikelcode</t>
        </is>
      </c>
      <c r="D1" s="1" t="inlineStr">
        <is>
          <t>Artikelnaam</t>
        </is>
      </c>
      <c r="E1" s="1" t="inlineStr">
        <is>
          <t>Categorie</t>
        </is>
      </c>
      <c r="F1" s="1" t="inlineStr">
        <is>
          <t>Leverancier</t>
        </is>
      </c>
      <c r="G1" s="1" t="inlineStr">
        <is>
          <t>Magazijnlocatie</t>
        </is>
      </c>
      <c r="H1" s="1" t="inlineStr">
        <is>
          <t>Mutatietype</t>
        </is>
      </c>
      <c r="I1" s="1" t="inlineStr">
        <is>
          <t>Aantal in</t>
        </is>
      </c>
      <c r="J1" s="1" t="inlineStr">
        <is>
          <t>Aantal uit</t>
        </is>
      </c>
      <c r="K1" s="1" t="inlineStr">
        <is>
          <t>Stuksprijs inkoop</t>
        </is>
      </c>
      <c r="L1" s="1" t="inlineStr">
        <is>
          <t>Verkoopprijs per stuk</t>
        </is>
      </c>
      <c r="M1" s="1" t="inlineStr">
        <is>
          <t>BTW-tarief</t>
        </is>
      </c>
      <c r="N1" s="1" t="inlineStr">
        <is>
          <t>Totale inkoopwaarde</t>
        </is>
      </c>
      <c r="O1" s="1" t="inlineStr">
        <is>
          <t>Totale verkoopwaarde</t>
        </is>
      </c>
      <c r="P1" s="1" t="inlineStr">
        <is>
          <t>FIFO-kostprijs uitgaand</t>
        </is>
      </c>
      <c r="Q1" s="1" t="inlineStr">
        <is>
          <t>Brutomarge</t>
        </is>
      </c>
      <c r="R1" s="1" t="inlineStr">
        <is>
          <t>Voorraad na mutatie</t>
        </is>
      </c>
      <c r="S1" s="1" t="inlineStr">
        <is>
          <t>Opmerking</t>
        </is>
      </c>
      <c r="T1" s="1" t="inlineStr">
        <is>
          <t>Status</t>
        </is>
      </c>
      <c r="U1" s="1" t="inlineStr">
        <is>
          <t>Jaar</t>
        </is>
      </c>
      <c r="V1" s="1" t="inlineStr">
        <is>
          <t>MaandNr</t>
        </is>
      </c>
      <c r="W1" s="1" t="inlineStr">
        <is>
          <t>Maandlabel</t>
        </is>
      </c>
    </row>
    <row r="2">
      <c r="A2" s="2" t="inlineStr">
        <is>
          <t>M001</t>
        </is>
      </c>
      <c r="B2" s="25" t="n">
        <v>46023</v>
      </c>
      <c r="C2" s="2" t="inlineStr">
        <is>
          <t>ART001</t>
        </is>
      </c>
      <c r="D2" s="2" t="inlineStr">
        <is>
          <t>Koffiebonen</t>
        </is>
      </c>
      <c r="E2" s="2" t="inlineStr">
        <is>
          <t>Dranken</t>
        </is>
      </c>
      <c r="F2" s="2" t="inlineStr">
        <is>
          <t>Koffie Import Amsterdam BV</t>
        </is>
      </c>
      <c r="G2" s="2" t="inlineStr">
        <is>
          <t>Utrecht</t>
        </is>
      </c>
      <c r="H2" s="2" t="inlineStr">
        <is>
          <t>Inkoop</t>
        </is>
      </c>
      <c r="I2" s="26" t="n">
        <v>200</v>
      </c>
      <c r="J2" s="26" t="n">
        <v>0</v>
      </c>
      <c r="K2" s="27" t="n">
        <v>8.5</v>
      </c>
      <c r="L2" s="27" t="n">
        <v>0</v>
      </c>
      <c r="M2" s="6" t="n">
        <v>0.21</v>
      </c>
      <c r="N2" s="28">
        <f>IFERROR(I2*K2,0)</f>
        <v/>
      </c>
      <c r="O2" s="28">
        <f>IFERROR(J2*L2,0)</f>
        <v/>
      </c>
      <c r="P2" s="28">
        <f>IFERROR(J2*VLOOKUP(C2,FIFO_Berekening!$A$2:$I$8,9,0),0)</f>
        <v/>
      </c>
      <c r="Q2" s="28">
        <f>O2-P2</f>
        <v/>
      </c>
      <c r="R2" s="29">
        <f>IFERROR(SUMIFS($I$2:I2,$C$2:C2,C2)-SUMIFS($J$2:J2,$C$2:C2,C2),0)</f>
        <v/>
      </c>
      <c r="S2" s="2" t="inlineStr">
        <is>
          <t>Sanne - eerste inkoop koffiebonen</t>
        </is>
      </c>
      <c r="T2" s="2">
        <f>IF(R2&lt;0,"Tekort","OK")</f>
        <v/>
      </c>
      <c r="U2" s="29">
        <f>YEAR(B2)</f>
        <v/>
      </c>
      <c r="V2" s="29">
        <f>MONTH(B2)</f>
        <v/>
      </c>
      <c r="W2" s="2">
        <f>TEXT(B2,"mmm-yyyy")</f>
        <v/>
      </c>
    </row>
    <row r="3">
      <c r="A3" s="9" t="inlineStr">
        <is>
          <t>M002</t>
        </is>
      </c>
      <c r="B3" s="30" t="n">
        <v>46037</v>
      </c>
      <c r="C3" s="9" t="inlineStr">
        <is>
          <t>ART001</t>
        </is>
      </c>
      <c r="D3" s="9" t="inlineStr">
        <is>
          <t>Koffiebonen</t>
        </is>
      </c>
      <c r="E3" s="9" t="inlineStr">
        <is>
          <t>Dranken</t>
        </is>
      </c>
      <c r="F3" s="9" t="inlineStr">
        <is>
          <t>Koffie Import Amsterdam BV</t>
        </is>
      </c>
      <c r="G3" s="9" t="inlineStr">
        <is>
          <t>Utrecht</t>
        </is>
      </c>
      <c r="H3" s="9" t="inlineStr">
        <is>
          <t>Verkoop</t>
        </is>
      </c>
      <c r="I3" s="26" t="n">
        <v>0</v>
      </c>
      <c r="J3" s="26" t="n">
        <v>50</v>
      </c>
      <c r="K3" s="27" t="n">
        <v>0</v>
      </c>
      <c r="L3" s="27" t="n">
        <v>14.95</v>
      </c>
      <c r="M3" s="6" t="n">
        <v>0.21</v>
      </c>
      <c r="N3" s="31">
        <f>IFERROR(I3*K3,0)</f>
        <v/>
      </c>
      <c r="O3" s="31">
        <f>IFERROR(J3*L3,0)</f>
        <v/>
      </c>
      <c r="P3" s="31">
        <f>IFERROR(J3*VLOOKUP(C3,FIFO_Berekening!$A$2:$I$8,9,0),0)</f>
        <v/>
      </c>
      <c r="Q3" s="31">
        <f>O3-P3</f>
        <v/>
      </c>
      <c r="R3" s="32">
        <f>IFERROR(SUMIFS($I$2:I3,$C$2:C3,C3)-SUMIFS($J$2:J3,$C$2:C3,C3),0)</f>
        <v/>
      </c>
      <c r="S3" s="9" t="inlineStr">
        <is>
          <t>Sanne - verkoop aan kantoor Rotterdam</t>
        </is>
      </c>
      <c r="T3" s="9">
        <f>IF(R3&lt;0,"Tekort","OK")</f>
        <v/>
      </c>
      <c r="U3" s="32">
        <f>YEAR(B3)</f>
        <v/>
      </c>
      <c r="V3" s="32">
        <f>MONTH(B3)</f>
        <v/>
      </c>
      <c r="W3" s="9">
        <f>TEXT(B3,"mmm-yyyy")</f>
        <v/>
      </c>
    </row>
    <row r="4">
      <c r="A4" s="2" t="inlineStr">
        <is>
          <t>M003</t>
        </is>
      </c>
      <c r="B4" s="25" t="n">
        <v>46027</v>
      </c>
      <c r="C4" s="2" t="inlineStr">
        <is>
          <t>ART003</t>
        </is>
      </c>
      <c r="D4" s="2" t="inlineStr">
        <is>
          <t>Kartonverpakking</t>
        </is>
      </c>
      <c r="E4" s="2" t="inlineStr">
        <is>
          <t>Verpakking</t>
        </is>
      </c>
      <c r="F4" s="2" t="inlineStr">
        <is>
          <t>Karton Groothandel Breda</t>
        </is>
      </c>
      <c r="G4" s="2" t="inlineStr">
        <is>
          <t>Eindhoven</t>
        </is>
      </c>
      <c r="H4" s="2" t="inlineStr">
        <is>
          <t>Inkoop</t>
        </is>
      </c>
      <c r="I4" s="26" t="n">
        <v>500</v>
      </c>
      <c r="J4" s="26" t="n">
        <v>0</v>
      </c>
      <c r="K4" s="27" t="n">
        <v>0.45</v>
      </c>
      <c r="L4" s="27" t="n">
        <v>0</v>
      </c>
      <c r="M4" s="6" t="n">
        <v>0.21</v>
      </c>
      <c r="N4" s="28">
        <f>IFERROR(I4*K4,0)</f>
        <v/>
      </c>
      <c r="O4" s="28">
        <f>IFERROR(J4*L4,0)</f>
        <v/>
      </c>
      <c r="P4" s="28">
        <f>IFERROR(J4*VLOOKUP(C4,FIFO_Berekening!$A$2:$I$8,9,0),0)</f>
        <v/>
      </c>
      <c r="Q4" s="28">
        <f>O4-P4</f>
        <v/>
      </c>
      <c r="R4" s="29">
        <f>IFERROR(SUMIFS($I$2:I4,$C$2:C4,C4)-SUMIFS($J$2:J4,$C$2:C4,C4),0)</f>
        <v/>
      </c>
      <c r="S4" s="2" t="inlineStr">
        <is>
          <t>Daan - inkoop kartonverpakking</t>
        </is>
      </c>
      <c r="T4" s="2">
        <f>IF(R4&lt;0,"Tekort","OK")</f>
        <v/>
      </c>
      <c r="U4" s="29">
        <f>YEAR(B4)</f>
        <v/>
      </c>
      <c r="V4" s="29">
        <f>MONTH(B4)</f>
        <v/>
      </c>
      <c r="W4" s="2">
        <f>TEXT(B4,"mmm-yyyy")</f>
        <v/>
      </c>
    </row>
    <row r="5">
      <c r="A5" s="9" t="inlineStr">
        <is>
          <t>M004</t>
        </is>
      </c>
      <c r="B5" s="30" t="n">
        <v>46042</v>
      </c>
      <c r="C5" s="9" t="inlineStr">
        <is>
          <t>ART009</t>
        </is>
      </c>
      <c r="D5" s="9" t="inlineStr">
        <is>
          <t>Labels</t>
        </is>
      </c>
      <c r="E5" s="9" t="inlineStr">
        <is>
          <t>Verpakking</t>
        </is>
      </c>
      <c r="F5" s="9" t="inlineStr">
        <is>
          <t>Labeltechniek Eindhoven</t>
        </is>
      </c>
      <c r="G5" s="9" t="inlineStr">
        <is>
          <t>Eindhoven</t>
        </is>
      </c>
      <c r="H5" s="9" t="inlineStr">
        <is>
          <t>Inkoop</t>
        </is>
      </c>
      <c r="I5" s="26" t="n">
        <v>1000</v>
      </c>
      <c r="J5" s="26" t="n">
        <v>0</v>
      </c>
      <c r="K5" s="27" t="n">
        <v>0.12</v>
      </c>
      <c r="L5" s="27" t="n">
        <v>0</v>
      </c>
      <c r="M5" s="6" t="n">
        <v>0.21</v>
      </c>
      <c r="N5" s="31">
        <f>IFERROR(I5*K5,0)</f>
        <v/>
      </c>
      <c r="O5" s="31">
        <f>IFERROR(J5*L5,0)</f>
        <v/>
      </c>
      <c r="P5" s="31">
        <f>IFERROR(J5*VLOOKUP(C5,FIFO_Berekening!$A$2:$I$8,9,0),0)</f>
        <v/>
      </c>
      <c r="Q5" s="31">
        <f>O5-P5</f>
        <v/>
      </c>
      <c r="R5" s="32">
        <f>IFERROR(SUMIFS($I$2:I5,$C$2:C5,C5)-SUMIFS($J$2:J5,$C$2:C5,C5),0)</f>
        <v/>
      </c>
      <c r="S5" s="9" t="inlineStr">
        <is>
          <t>Daan - inkoop labels</t>
        </is>
      </c>
      <c r="T5" s="9">
        <f>IF(R5&lt;0,"Tekort","OK")</f>
        <v/>
      </c>
      <c r="U5" s="32">
        <f>YEAR(B5)</f>
        <v/>
      </c>
      <c r="V5" s="32">
        <f>MONTH(B5)</f>
        <v/>
      </c>
      <c r="W5" s="9">
        <f>TEXT(B5,"mmm-yyyy")</f>
        <v/>
      </c>
    </row>
    <row r="6">
      <c r="A6" s="2" t="inlineStr">
        <is>
          <t>M005</t>
        </is>
      </c>
      <c r="B6" s="25" t="n">
        <v>46044</v>
      </c>
      <c r="C6" s="2" t="inlineStr">
        <is>
          <t>ART003</t>
        </is>
      </c>
      <c r="D6" s="2" t="inlineStr">
        <is>
          <t>Kartonverpakking</t>
        </is>
      </c>
      <c r="E6" s="2" t="inlineStr">
        <is>
          <t>Verpakking</t>
        </is>
      </c>
      <c r="F6" s="2" t="inlineStr">
        <is>
          <t>Karton Groothandel Breda</t>
        </is>
      </c>
      <c r="G6" s="2" t="inlineStr">
        <is>
          <t>Eindhoven</t>
        </is>
      </c>
      <c r="H6" s="2" t="inlineStr">
        <is>
          <t>Verkoop</t>
        </is>
      </c>
      <c r="I6" s="26" t="n">
        <v>0</v>
      </c>
      <c r="J6" s="26" t="n">
        <v>120</v>
      </c>
      <c r="K6" s="27" t="n">
        <v>0</v>
      </c>
      <c r="L6" s="27" t="n">
        <v>0.95</v>
      </c>
      <c r="M6" s="6" t="n">
        <v>0.21</v>
      </c>
      <c r="N6" s="28">
        <f>IFERROR(I6*K6,0)</f>
        <v/>
      </c>
      <c r="O6" s="28">
        <f>IFERROR(J6*L6,0)</f>
        <v/>
      </c>
      <c r="P6" s="28">
        <f>IFERROR(J6*VLOOKUP(C6,FIFO_Berekening!$A$2:$I$8,9,0),0)</f>
        <v/>
      </c>
      <c r="Q6" s="28">
        <f>O6-P6</f>
        <v/>
      </c>
      <c r="R6" s="29">
        <f>IFERROR(SUMIFS($I$2:I6,$C$2:C6,C6)-SUMIFS($J$2:J6,$C$2:C6,C6),0)</f>
        <v/>
      </c>
      <c r="S6" s="2" t="inlineStr">
        <is>
          <t>Lieke - verkoop kartonverpakking Tilburg</t>
        </is>
      </c>
      <c r="T6" s="2">
        <f>IF(R6&lt;0,"Tekort","OK")</f>
        <v/>
      </c>
      <c r="U6" s="29">
        <f>YEAR(B6)</f>
        <v/>
      </c>
      <c r="V6" s="29">
        <f>MONTH(B6)</f>
        <v/>
      </c>
      <c r="W6" s="2">
        <f>TEXT(B6,"mmm-yyyy")</f>
        <v/>
      </c>
    </row>
    <row r="7">
      <c r="A7" s="9" t="inlineStr">
        <is>
          <t>M006</t>
        </is>
      </c>
      <c r="B7" s="30" t="n">
        <v>46063</v>
      </c>
      <c r="C7" s="9" t="inlineStr">
        <is>
          <t>ART007</t>
        </is>
      </c>
      <c r="D7" s="9" t="inlineStr">
        <is>
          <t>Thee</t>
        </is>
      </c>
      <c r="E7" s="9" t="inlineStr">
        <is>
          <t>Dranken</t>
        </is>
      </c>
      <c r="F7" s="9" t="inlineStr">
        <is>
          <t>Thee Handelshuis Amsterdam</t>
        </is>
      </c>
      <c r="G7" s="9" t="inlineStr">
        <is>
          <t>Amsterdam</t>
        </is>
      </c>
      <c r="H7" s="9" t="inlineStr">
        <is>
          <t>Retour</t>
        </is>
      </c>
      <c r="I7" s="26" t="n">
        <v>15</v>
      </c>
      <c r="J7" s="26" t="n">
        <v>0</v>
      </c>
      <c r="K7" s="27" t="n">
        <v>3.2</v>
      </c>
      <c r="L7" s="27" t="n">
        <v>0</v>
      </c>
      <c r="M7" s="6" t="n">
        <v>0.09</v>
      </c>
      <c r="N7" s="31">
        <f>IFERROR(I7*K7,0)</f>
        <v/>
      </c>
      <c r="O7" s="31">
        <f>IFERROR(J7*L7,0)</f>
        <v/>
      </c>
      <c r="P7" s="31">
        <f>IFERROR(J7*VLOOKUP(C7,FIFO_Berekening!$A$2:$I$8,9,0),0)</f>
        <v/>
      </c>
      <c r="Q7" s="31">
        <f>O7-P7</f>
        <v/>
      </c>
      <c r="R7" s="32">
        <f>IFERROR(SUMIFS($I$2:I7,$C$2:C7,C7)-SUMIFS($J$2:J7,$C$2:C7,C7),0)</f>
        <v/>
      </c>
      <c r="S7" s="9" t="inlineStr">
        <is>
          <t>Emma - retour thee van klant</t>
        </is>
      </c>
      <c r="T7" s="9">
        <f>IF(R7&lt;0,"Tekort","OK")</f>
        <v/>
      </c>
      <c r="U7" s="32">
        <f>YEAR(B7)</f>
        <v/>
      </c>
      <c r="V7" s="32">
        <f>MONTH(B7)</f>
        <v/>
      </c>
      <c r="W7" s="9">
        <f>TEXT(B7,"mmm-yyyy")</f>
        <v/>
      </c>
    </row>
    <row r="8">
      <c r="A8" s="2" t="inlineStr">
        <is>
          <t>M007</t>
        </is>
      </c>
      <c r="B8" s="25" t="n">
        <v>46065</v>
      </c>
      <c r="C8" s="2" t="inlineStr">
        <is>
          <t>ART007</t>
        </is>
      </c>
      <c r="D8" s="2" t="inlineStr">
        <is>
          <t>Thee</t>
        </is>
      </c>
      <c r="E8" s="2" t="inlineStr">
        <is>
          <t>Dranken</t>
        </is>
      </c>
      <c r="F8" s="2" t="inlineStr">
        <is>
          <t>Thee Handelshuis Amsterdam</t>
        </is>
      </c>
      <c r="G8" s="2" t="inlineStr">
        <is>
          <t>Amsterdam</t>
        </is>
      </c>
      <c r="H8" s="2" t="inlineStr">
        <is>
          <t>Correctie</t>
        </is>
      </c>
      <c r="I8" s="26" t="n">
        <v>0</v>
      </c>
      <c r="J8" s="26" t="n">
        <v>5</v>
      </c>
      <c r="K8" s="27" t="n">
        <v>3.2</v>
      </c>
      <c r="L8" s="27" t="n">
        <v>0</v>
      </c>
      <c r="M8" s="6" t="n">
        <v>0.09</v>
      </c>
      <c r="N8" s="28">
        <f>IFERROR(I8*K8,0)</f>
        <v/>
      </c>
      <c r="O8" s="28">
        <f>IFERROR(J8*L8,0)</f>
        <v/>
      </c>
      <c r="P8" s="28">
        <f>IFERROR(J8*VLOOKUP(C8,FIFO_Berekening!$A$2:$I$8,9,0),0)</f>
        <v/>
      </c>
      <c r="Q8" s="28">
        <f>O8-P8</f>
        <v/>
      </c>
      <c r="R8" s="29">
        <f>IFERROR(SUMIFS($I$2:I8,$C$2:C8,C8)-SUMIFS($J$2:J8,$C$2:C8,C8),0)</f>
        <v/>
      </c>
      <c r="S8" s="2" t="inlineStr">
        <is>
          <t>Emma - correctie voorraadtelling thee</t>
        </is>
      </c>
      <c r="T8" s="2">
        <f>IF(R8&lt;0,"Tekort","OK")</f>
        <v/>
      </c>
      <c r="U8" s="29">
        <f>YEAR(B8)</f>
        <v/>
      </c>
      <c r="V8" s="29">
        <f>MONTH(B8)</f>
        <v/>
      </c>
      <c r="W8" s="2">
        <f>TEXT(B8,"mmm-yyyy")</f>
        <v/>
      </c>
    </row>
    <row r="9">
      <c r="A9" s="9" t="inlineStr">
        <is>
          <t>M008</t>
        </is>
      </c>
      <c r="B9" s="30" t="n">
        <v>46071</v>
      </c>
      <c r="C9" s="9" t="inlineStr">
        <is>
          <t>ART004</t>
        </is>
      </c>
      <c r="D9" s="9" t="inlineStr">
        <is>
          <t>Schoonmaakdoeken</t>
        </is>
      </c>
      <c r="E9" s="9" t="inlineStr">
        <is>
          <t>Schoonmaak</t>
        </is>
      </c>
      <c r="F9" s="9" t="inlineStr">
        <is>
          <t>Schoonmaak Groothandel Utrecht</t>
        </is>
      </c>
      <c r="G9" s="9" t="inlineStr">
        <is>
          <t>Den Haag</t>
        </is>
      </c>
      <c r="H9" s="9" t="inlineStr">
        <is>
          <t>Inkoop</t>
        </is>
      </c>
      <c r="I9" s="26" t="n">
        <v>300</v>
      </c>
      <c r="J9" s="26" t="n">
        <v>0</v>
      </c>
      <c r="K9" s="27" t="n">
        <v>1.1</v>
      </c>
      <c r="L9" s="27" t="n">
        <v>0</v>
      </c>
      <c r="M9" s="6" t="n">
        <v>0.21</v>
      </c>
      <c r="N9" s="31">
        <f>IFERROR(I9*K9,0)</f>
        <v/>
      </c>
      <c r="O9" s="31">
        <f>IFERROR(J9*L9,0)</f>
        <v/>
      </c>
      <c r="P9" s="31">
        <f>IFERROR(J9*VLOOKUP(C9,FIFO_Berekening!$A$2:$I$8,9,0),0)</f>
        <v/>
      </c>
      <c r="Q9" s="31">
        <f>O9-P9</f>
        <v/>
      </c>
      <c r="R9" s="32">
        <f>IFERROR(SUMIFS($I$2:I9,$C$2:C9,C9)-SUMIFS($J$2:J9,$C$2:C9,C9),0)</f>
        <v/>
      </c>
      <c r="S9" s="9" t="inlineStr">
        <is>
          <t>Lars - inkoop schoonmaakdoeken</t>
        </is>
      </c>
      <c r="T9" s="9">
        <f>IF(R9&lt;0,"Tekort","OK")</f>
        <v/>
      </c>
      <c r="U9" s="32">
        <f>YEAR(B9)</f>
        <v/>
      </c>
      <c r="V9" s="32">
        <f>MONTH(B9)</f>
        <v/>
      </c>
      <c r="W9" s="9">
        <f>TEXT(B9,"mmm-yyyy")</f>
        <v/>
      </c>
    </row>
    <row r="10">
      <c r="A10" s="2" t="inlineStr">
        <is>
          <t>M009</t>
        </is>
      </c>
      <c r="B10" s="25" t="n">
        <v>46078</v>
      </c>
      <c r="C10" s="2" t="inlineStr">
        <is>
          <t>ART005</t>
        </is>
      </c>
      <c r="D10" s="2" t="inlineStr">
        <is>
          <t>Werkkleding</t>
        </is>
      </c>
      <c r="E10" s="2" t="inlineStr">
        <is>
          <t>Kleding</t>
        </is>
      </c>
      <c r="F10" s="2" t="inlineStr">
        <is>
          <t>Workwear Breda BV</t>
        </is>
      </c>
      <c r="G10" s="2" t="inlineStr">
        <is>
          <t>Haarlem</t>
        </is>
      </c>
      <c r="H10" s="2" t="inlineStr">
        <is>
          <t>Inkoop</t>
        </is>
      </c>
      <c r="I10" s="26" t="n">
        <v>80</v>
      </c>
      <c r="J10" s="26" t="n">
        <v>0</v>
      </c>
      <c r="K10" s="27" t="n">
        <v>24.5</v>
      </c>
      <c r="L10" s="27" t="n">
        <v>0</v>
      </c>
      <c r="M10" s="6" t="n">
        <v>0.21</v>
      </c>
      <c r="N10" s="28">
        <f>IFERROR(I10*K10,0)</f>
        <v/>
      </c>
      <c r="O10" s="28">
        <f>IFERROR(J10*L10,0)</f>
        <v/>
      </c>
      <c r="P10" s="28">
        <f>IFERROR(J10*VLOOKUP(C10,FIFO_Berekening!$A$2:$I$8,9,0),0)</f>
        <v/>
      </c>
      <c r="Q10" s="28">
        <f>O10-P10</f>
        <v/>
      </c>
      <c r="R10" s="29">
        <f>IFERROR(SUMIFS($I$2:I10,$C$2:C10,C10)-SUMIFS($J$2:J10,$C$2:C10,C10),0)</f>
        <v/>
      </c>
      <c r="S10" s="2" t="inlineStr">
        <is>
          <t>Sophie - inkoop werkkleding</t>
        </is>
      </c>
      <c r="T10" s="2">
        <f>IF(R10&lt;0,"Tekort","OK")</f>
        <v/>
      </c>
      <c r="U10" s="29">
        <f>YEAR(B10)</f>
        <v/>
      </c>
      <c r="V10" s="29">
        <f>MONTH(B10)</f>
        <v/>
      </c>
      <c r="W10" s="2">
        <f>TEXT(B10,"mmm-yyyy")</f>
        <v/>
      </c>
    </row>
    <row r="11">
      <c r="A11" s="9" t="inlineStr">
        <is>
          <t>M010</t>
        </is>
      </c>
      <c r="B11" s="30" t="n">
        <v>46082</v>
      </c>
      <c r="C11" s="9" t="inlineStr">
        <is>
          <t>ART006</t>
        </is>
      </c>
      <c r="D11" s="9" t="inlineStr">
        <is>
          <t>Toner</t>
        </is>
      </c>
      <c r="E11" s="9" t="inlineStr">
        <is>
          <t>Kantoorbenodigdheden</t>
        </is>
      </c>
      <c r="F11" s="9" t="inlineStr">
        <is>
          <t>Office Supplies Amsterdam</t>
        </is>
      </c>
      <c r="G11" s="9" t="inlineStr">
        <is>
          <t>Breda</t>
        </is>
      </c>
      <c r="H11" s="9" t="inlineStr">
        <is>
          <t>Inkoop</t>
        </is>
      </c>
      <c r="I11" s="26" t="n">
        <v>60</v>
      </c>
      <c r="J11" s="26" t="n">
        <v>0</v>
      </c>
      <c r="K11" s="27" t="n">
        <v>32.75</v>
      </c>
      <c r="L11" s="27" t="n">
        <v>0</v>
      </c>
      <c r="M11" s="6" t="n">
        <v>0.21</v>
      </c>
      <c r="N11" s="31">
        <f>IFERROR(I11*K11,0)</f>
        <v/>
      </c>
      <c r="O11" s="31">
        <f>IFERROR(J11*L11,0)</f>
        <v/>
      </c>
      <c r="P11" s="31">
        <f>IFERROR(J11*VLOOKUP(C11,FIFO_Berekening!$A$2:$I$8,9,0),0)</f>
        <v/>
      </c>
      <c r="Q11" s="31">
        <f>O11-P11</f>
        <v/>
      </c>
      <c r="R11" s="32">
        <f>IFERROR(SUMIFS($I$2:I11,$C$2:C11,C11)-SUMIFS($J$2:J11,$C$2:C11,C11),0)</f>
        <v/>
      </c>
      <c r="S11" s="9" t="inlineStr">
        <is>
          <t>Bram - inkoop toner</t>
        </is>
      </c>
      <c r="T11" s="9">
        <f>IF(R11&lt;0,"Tekort","OK")</f>
        <v/>
      </c>
      <c r="U11" s="32">
        <f>YEAR(B11)</f>
        <v/>
      </c>
      <c r="V11" s="32">
        <f>MONTH(B11)</f>
        <v/>
      </c>
      <c r="W11" s="9">
        <f>TEXT(B11,"mmm-yyyy")</f>
        <v/>
      </c>
    </row>
  </sheetData>
  <conditionalFormatting sqref="R2:R11">
    <cfRule type="expression" priority="1" dxfId="0" stopIfTrue="1">
      <formula>R2&lt;0</formula>
    </cfRule>
  </conditionalFormatting>
  <conditionalFormatting sqref="T2:T11">
    <cfRule type="expression" priority="2" dxfId="0" stopIfTrue="1">
      <formula>T2="Tekort"</formula>
    </cfRule>
    <cfRule type="expression" priority="3" dxfId="1" stopIfTrue="1">
      <formula>T2="OK"</formula>
    </cfRule>
  </conditionalFormatting>
  <dataValidations count="1">
    <dataValidation sqref="H2:H11" showErrorMessage="1" showInputMessage="1" allowBlank="0" type="list">
      <formula1>"Inkoop,Verkoop,Correctie,Retour"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3" customWidth="1" min="2" max="2"/>
    <col width="10" customWidth="1" min="3" max="3"/>
    <col width="13" customWidth="1" min="4" max="4"/>
    <col width="15" customWidth="1" min="5" max="5"/>
    <col width="13" customWidth="1" min="6" max="6"/>
    <col width="15" customWidth="1" min="7" max="7"/>
    <col width="14" customWidth="1" min="8" max="8"/>
    <col width="14" customWidth="1" min="9" max="9"/>
    <col width="16" customWidth="1" min="10" max="10"/>
    <col width="15" customWidth="1" min="11" max="11"/>
    <col width="15" customWidth="1" min="12" max="12"/>
    <col width="16" customWidth="1" min="13" max="13"/>
  </cols>
  <sheetData>
    <row r="1">
      <c r="A1" s="1" t="inlineStr">
        <is>
          <t>Artikelcode</t>
        </is>
      </c>
      <c r="B1" s="1" t="inlineStr">
        <is>
          <t>Inkoopdatum</t>
        </is>
      </c>
      <c r="C1" s="1" t="inlineStr">
        <is>
          <t>Batch-ID</t>
        </is>
      </c>
      <c r="D1" s="1" t="inlineStr">
        <is>
          <t>Ingekocht aantal</t>
        </is>
      </c>
      <c r="E1" s="1" t="inlineStr">
        <is>
          <t>Verkocht aantal (cum.)</t>
        </is>
      </c>
      <c r="F1" s="1" t="inlineStr">
        <is>
          <t>Beschikbaar aantal</t>
        </is>
      </c>
      <c r="G1" s="1" t="inlineStr">
        <is>
          <t>FIFO-verbruikt aantal</t>
        </is>
      </c>
      <c r="H1" s="1" t="inlineStr">
        <is>
          <t>Restvoorraad batch</t>
        </is>
      </c>
      <c r="I1" s="1" t="inlineStr">
        <is>
          <t>Inkoopprijs per stuk</t>
        </is>
      </c>
      <c r="J1" s="1" t="inlineStr">
        <is>
          <t>Batchwaarde oorspronkelijk</t>
        </is>
      </c>
      <c r="K1" s="1" t="inlineStr">
        <is>
          <t>Verbruikte kostprijs</t>
        </is>
      </c>
      <c r="L1" s="1" t="inlineStr">
        <is>
          <t>Batchwaarde resterend</t>
        </is>
      </c>
      <c r="M1" s="1" t="inlineStr">
        <is>
          <t>Categorie</t>
        </is>
      </c>
    </row>
    <row r="2">
      <c r="A2" s="2">
        <f>Voorraadmutaties!C2</f>
        <v/>
      </c>
      <c r="B2" s="25">
        <f>Voorraadmutaties!B2</f>
        <v/>
      </c>
      <c r="C2" s="2">
        <f>Voorraadmutaties!A2</f>
        <v/>
      </c>
      <c r="D2" s="29">
        <f>Voorraadmutaties!I2</f>
        <v/>
      </c>
      <c r="E2" s="29">
        <f>SUMIFS(Voorraadmutaties!$J$2:$J$11,Voorraadmutaties!$C$2:$C$11,A2,Voorraadmutaties!$H$2:$H$11,"Verkoop")+SUMIFS(Voorraadmutaties!$J$2:$J$11,Voorraadmutaties!$C$2:$C$11,A2,Voorraadmutaties!$H$2:$H$11,"Correctie")</f>
        <v/>
      </c>
      <c r="F2" s="29">
        <f>D2-E2</f>
        <v/>
      </c>
      <c r="G2" s="29">
        <f>MIN(D2,E2)</f>
        <v/>
      </c>
      <c r="H2" s="29">
        <f>D2-G2</f>
        <v/>
      </c>
      <c r="I2" s="28">
        <f>Voorraadmutaties!K2</f>
        <v/>
      </c>
      <c r="J2" s="28">
        <f>IFERROR(D2*I2,0)</f>
        <v/>
      </c>
      <c r="K2" s="28">
        <f>IFERROR(G2*I2,0)</f>
        <v/>
      </c>
      <c r="L2" s="28">
        <f>IFERROR(H2*I2,0)</f>
        <v/>
      </c>
      <c r="M2" s="2">
        <f>IFERROR(VLOOKUP(A2,Voorraadmutaties!$C:$E,3,0),"")</f>
        <v/>
      </c>
    </row>
    <row r="3">
      <c r="A3" s="9">
        <f>Voorraadmutaties!C4</f>
        <v/>
      </c>
      <c r="B3" s="30">
        <f>Voorraadmutaties!B4</f>
        <v/>
      </c>
      <c r="C3" s="9">
        <f>Voorraadmutaties!A4</f>
        <v/>
      </c>
      <c r="D3" s="32">
        <f>Voorraadmutaties!I4</f>
        <v/>
      </c>
      <c r="E3" s="32">
        <f>SUMIFS(Voorraadmutaties!$J$2:$J$11,Voorraadmutaties!$C$2:$C$11,A3,Voorraadmutaties!$H$2:$H$11,"Verkoop")+SUMIFS(Voorraadmutaties!$J$2:$J$11,Voorraadmutaties!$C$2:$C$11,A3,Voorraadmutaties!$H$2:$H$11,"Correctie")</f>
        <v/>
      </c>
      <c r="F3" s="32">
        <f>D3-E3</f>
        <v/>
      </c>
      <c r="G3" s="32">
        <f>MIN(D3,E3)</f>
        <v/>
      </c>
      <c r="H3" s="32">
        <f>D3-G3</f>
        <v/>
      </c>
      <c r="I3" s="31">
        <f>Voorraadmutaties!K4</f>
        <v/>
      </c>
      <c r="J3" s="31">
        <f>IFERROR(D3*I3,0)</f>
        <v/>
      </c>
      <c r="K3" s="31">
        <f>IFERROR(G3*I3,0)</f>
        <v/>
      </c>
      <c r="L3" s="31">
        <f>IFERROR(H3*I3,0)</f>
        <v/>
      </c>
      <c r="M3" s="9">
        <f>IFERROR(VLOOKUP(A3,Voorraadmutaties!$C:$E,3,0),"")</f>
        <v/>
      </c>
    </row>
    <row r="4">
      <c r="A4" s="2">
        <f>Voorraadmutaties!C5</f>
        <v/>
      </c>
      <c r="B4" s="25">
        <f>Voorraadmutaties!B5</f>
        <v/>
      </c>
      <c r="C4" s="2">
        <f>Voorraadmutaties!A5</f>
        <v/>
      </c>
      <c r="D4" s="29">
        <f>Voorraadmutaties!I5</f>
        <v/>
      </c>
      <c r="E4" s="29">
        <f>SUMIFS(Voorraadmutaties!$J$2:$J$11,Voorraadmutaties!$C$2:$C$11,A4,Voorraadmutaties!$H$2:$H$11,"Verkoop")+SUMIFS(Voorraadmutaties!$J$2:$J$11,Voorraadmutaties!$C$2:$C$11,A4,Voorraadmutaties!$H$2:$H$11,"Correctie")</f>
        <v/>
      </c>
      <c r="F4" s="29">
        <f>D4-E4</f>
        <v/>
      </c>
      <c r="G4" s="29">
        <f>MIN(D4,E4)</f>
        <v/>
      </c>
      <c r="H4" s="29">
        <f>D4-G4</f>
        <v/>
      </c>
      <c r="I4" s="28">
        <f>Voorraadmutaties!K5</f>
        <v/>
      </c>
      <c r="J4" s="28">
        <f>IFERROR(D4*I4,0)</f>
        <v/>
      </c>
      <c r="K4" s="28">
        <f>IFERROR(G4*I4,0)</f>
        <v/>
      </c>
      <c r="L4" s="28">
        <f>IFERROR(H4*I4,0)</f>
        <v/>
      </c>
      <c r="M4" s="2">
        <f>IFERROR(VLOOKUP(A4,Voorraadmutaties!$C:$E,3,0),"")</f>
        <v/>
      </c>
    </row>
    <row r="5">
      <c r="A5" s="9">
        <f>Voorraadmutaties!C7</f>
        <v/>
      </c>
      <c r="B5" s="30">
        <f>Voorraadmutaties!B7</f>
        <v/>
      </c>
      <c r="C5" s="9">
        <f>Voorraadmutaties!A7</f>
        <v/>
      </c>
      <c r="D5" s="32">
        <f>Voorraadmutaties!I7</f>
        <v/>
      </c>
      <c r="E5" s="32">
        <f>SUMIFS(Voorraadmutaties!$J$2:$J$11,Voorraadmutaties!$C$2:$C$11,A5,Voorraadmutaties!$H$2:$H$11,"Verkoop")+SUMIFS(Voorraadmutaties!$J$2:$J$11,Voorraadmutaties!$C$2:$C$11,A5,Voorraadmutaties!$H$2:$H$11,"Correctie")</f>
        <v/>
      </c>
      <c r="F5" s="32">
        <f>D5-E5</f>
        <v/>
      </c>
      <c r="G5" s="32">
        <f>MIN(D5,E5)</f>
        <v/>
      </c>
      <c r="H5" s="32">
        <f>D5-G5</f>
        <v/>
      </c>
      <c r="I5" s="31">
        <f>Voorraadmutaties!K7</f>
        <v/>
      </c>
      <c r="J5" s="31">
        <f>IFERROR(D5*I5,0)</f>
        <v/>
      </c>
      <c r="K5" s="31">
        <f>IFERROR(G5*I5,0)</f>
        <v/>
      </c>
      <c r="L5" s="31">
        <f>IFERROR(H5*I5,0)</f>
        <v/>
      </c>
      <c r="M5" s="9">
        <f>IFERROR(VLOOKUP(A5,Voorraadmutaties!$C:$E,3,0),"")</f>
        <v/>
      </c>
    </row>
    <row r="6">
      <c r="A6" s="2">
        <f>Voorraadmutaties!C9</f>
        <v/>
      </c>
      <c r="B6" s="25">
        <f>Voorraadmutaties!B9</f>
        <v/>
      </c>
      <c r="C6" s="2">
        <f>Voorraadmutaties!A9</f>
        <v/>
      </c>
      <c r="D6" s="29">
        <f>Voorraadmutaties!I9</f>
        <v/>
      </c>
      <c r="E6" s="29">
        <f>SUMIFS(Voorraadmutaties!$J$2:$J$11,Voorraadmutaties!$C$2:$C$11,A6,Voorraadmutaties!$H$2:$H$11,"Verkoop")+SUMIFS(Voorraadmutaties!$J$2:$J$11,Voorraadmutaties!$C$2:$C$11,A6,Voorraadmutaties!$H$2:$H$11,"Correctie")</f>
        <v/>
      </c>
      <c r="F6" s="29">
        <f>D6-E6</f>
        <v/>
      </c>
      <c r="G6" s="29">
        <f>MIN(D6,E6)</f>
        <v/>
      </c>
      <c r="H6" s="29">
        <f>D6-G6</f>
        <v/>
      </c>
      <c r="I6" s="28">
        <f>Voorraadmutaties!K9</f>
        <v/>
      </c>
      <c r="J6" s="28">
        <f>IFERROR(D6*I6,0)</f>
        <v/>
      </c>
      <c r="K6" s="28">
        <f>IFERROR(G6*I6,0)</f>
        <v/>
      </c>
      <c r="L6" s="28">
        <f>IFERROR(H6*I6,0)</f>
        <v/>
      </c>
      <c r="M6" s="2">
        <f>IFERROR(VLOOKUP(A6,Voorraadmutaties!$C:$E,3,0),"")</f>
        <v/>
      </c>
    </row>
    <row r="7">
      <c r="A7" s="9">
        <f>Voorraadmutaties!C10</f>
        <v/>
      </c>
      <c r="B7" s="30">
        <f>Voorraadmutaties!B10</f>
        <v/>
      </c>
      <c r="C7" s="9">
        <f>Voorraadmutaties!A10</f>
        <v/>
      </c>
      <c r="D7" s="32">
        <f>Voorraadmutaties!I10</f>
        <v/>
      </c>
      <c r="E7" s="32">
        <f>SUMIFS(Voorraadmutaties!$J$2:$J$11,Voorraadmutaties!$C$2:$C$11,A7,Voorraadmutaties!$H$2:$H$11,"Verkoop")+SUMIFS(Voorraadmutaties!$J$2:$J$11,Voorraadmutaties!$C$2:$C$11,A7,Voorraadmutaties!$H$2:$H$11,"Correctie")</f>
        <v/>
      </c>
      <c r="F7" s="32">
        <f>D7-E7</f>
        <v/>
      </c>
      <c r="G7" s="32">
        <f>MIN(D7,E7)</f>
        <v/>
      </c>
      <c r="H7" s="32">
        <f>D7-G7</f>
        <v/>
      </c>
      <c r="I7" s="31">
        <f>Voorraadmutaties!K10</f>
        <v/>
      </c>
      <c r="J7" s="31">
        <f>IFERROR(D7*I7,0)</f>
        <v/>
      </c>
      <c r="K7" s="31">
        <f>IFERROR(G7*I7,0)</f>
        <v/>
      </c>
      <c r="L7" s="31">
        <f>IFERROR(H7*I7,0)</f>
        <v/>
      </c>
      <c r="M7" s="9">
        <f>IFERROR(VLOOKUP(A7,Voorraadmutaties!$C:$E,3,0),"")</f>
        <v/>
      </c>
    </row>
    <row r="8">
      <c r="A8" s="2">
        <f>Voorraadmutaties!C11</f>
        <v/>
      </c>
      <c r="B8" s="25">
        <f>Voorraadmutaties!B11</f>
        <v/>
      </c>
      <c r="C8" s="2">
        <f>Voorraadmutaties!A11</f>
        <v/>
      </c>
      <c r="D8" s="29">
        <f>Voorraadmutaties!I11</f>
        <v/>
      </c>
      <c r="E8" s="29">
        <f>SUMIFS(Voorraadmutaties!$J$2:$J$11,Voorraadmutaties!$C$2:$C$11,A8,Voorraadmutaties!$H$2:$H$11,"Verkoop")+SUMIFS(Voorraadmutaties!$J$2:$J$11,Voorraadmutaties!$C$2:$C$11,A8,Voorraadmutaties!$H$2:$H$11,"Correctie")</f>
        <v/>
      </c>
      <c r="F8" s="29">
        <f>D8-E8</f>
        <v/>
      </c>
      <c r="G8" s="29">
        <f>MIN(D8,E8)</f>
        <v/>
      </c>
      <c r="H8" s="29">
        <f>D8-G8</f>
        <v/>
      </c>
      <c r="I8" s="28">
        <f>Voorraadmutaties!K11</f>
        <v/>
      </c>
      <c r="J8" s="28">
        <f>IFERROR(D8*I8,0)</f>
        <v/>
      </c>
      <c r="K8" s="28">
        <f>IFERROR(G8*I8,0)</f>
        <v/>
      </c>
      <c r="L8" s="28">
        <f>IFERROR(H8*I8,0)</f>
        <v/>
      </c>
      <c r="M8" s="2">
        <f>IFERROR(VLOOKUP(A8,Voorraadmutaties!$C:$E,3,0),"")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20" customWidth="1" min="3" max="3"/>
    <col width="3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3" t="inlineStr">
        <is>
          <t>Dashboard Voorraadwaardering FIFO</t>
        </is>
      </c>
    </row>
    <row r="2"/>
    <row r="3">
      <c r="B3" s="14" t="inlineStr">
        <is>
          <t>Kerncijfers</t>
        </is>
      </c>
    </row>
    <row r="4">
      <c r="B4" s="16" t="inlineStr">
        <is>
          <t>Totale voorraadwaarde</t>
        </is>
      </c>
      <c r="C4" s="28">
        <f>SUM(FIFO_Berekening!L2:L8)</f>
        <v/>
      </c>
    </row>
    <row r="5">
      <c r="B5" s="17" t="inlineStr">
        <is>
          <t>Totale brutomarge</t>
        </is>
      </c>
      <c r="C5" s="31">
        <f>SUM(Voorraadmutaties!Q2:Q11)</f>
        <v/>
      </c>
    </row>
    <row r="6">
      <c r="B6" s="16" t="inlineStr">
        <is>
          <t>Percentage brutomarge</t>
        </is>
      </c>
      <c r="C6" s="18">
        <f>IFERROR(C5/SUM(Voorraadmutaties!O2:O11),0)</f>
        <v/>
      </c>
    </row>
    <row r="7">
      <c r="B7" s="17" t="inlineStr">
        <is>
          <t>Aantal unieke artikelen</t>
        </is>
      </c>
      <c r="C7" s="32">
        <f>SUMPRODUCT((Voorraadmutaties!C2:C11&lt;&gt;"")/COUNTIF(Voorraadmutaties!C2:C11,Voorraadmutaties!C2:C11&amp;""))</f>
        <v/>
      </c>
    </row>
    <row r="8">
      <c r="B8" s="16" t="inlineStr">
        <is>
          <t>Aantal artikelen met tekorten</t>
        </is>
      </c>
      <c r="C8" s="29">
        <f>COUNTIF(Voorraadmutaties!T2:T11,"Tekort")</f>
        <v/>
      </c>
    </row>
    <row r="9">
      <c r="B9" s="17" t="inlineStr">
        <is>
          <t>Gemiddelde FIFO-kostprijs per artikel</t>
        </is>
      </c>
      <c r="C9" s="31">
        <f>IFERROR(AVERAGE(FIFO_Berekening!I2:I8),0)</f>
        <v/>
      </c>
    </row>
    <row r="10">
      <c r="B10" s="16" t="inlineStr">
        <is>
          <t>Hoogst gewaardeerde categorie</t>
        </is>
      </c>
      <c r="C10" s="19">
        <f>IFERROR(INDEX(B14:B18,MATCH(MAX(C14:C18),C14:C18,0)),"")</f>
        <v/>
      </c>
    </row>
    <row r="11"/>
    <row r="12">
      <c r="B12" s="14" t="inlineStr">
        <is>
          <t>Voorraadwaarde per categorie</t>
        </is>
      </c>
    </row>
    <row r="13">
      <c r="B13" s="20" t="inlineStr">
        <is>
          <t>Categorie</t>
        </is>
      </c>
      <c r="C13" s="20" t="inlineStr">
        <is>
          <t>Voorraadwaarde</t>
        </is>
      </c>
    </row>
    <row r="14">
      <c r="B14" s="2" t="inlineStr">
        <is>
          <t>Dranken</t>
        </is>
      </c>
      <c r="C14" s="28">
        <f>SUMIFS(FIFO_Berekening!$L$2:$L$8,FIFO_Berekening!$M$2:$M$8,B14)</f>
        <v/>
      </c>
    </row>
    <row r="15">
      <c r="B15" s="9" t="inlineStr">
        <is>
          <t>Verpakking</t>
        </is>
      </c>
      <c r="C15" s="31">
        <f>SUMIFS(FIFO_Berekening!$L$2:$L$8,FIFO_Berekening!$M$2:$M$8,B15)</f>
        <v/>
      </c>
    </row>
    <row r="16">
      <c r="B16" s="2" t="inlineStr">
        <is>
          <t>Schoonmaak</t>
        </is>
      </c>
      <c r="C16" s="28">
        <f>SUMIFS(FIFO_Berekening!$L$2:$L$8,FIFO_Berekening!$M$2:$M$8,B16)</f>
        <v/>
      </c>
    </row>
    <row r="17">
      <c r="B17" s="9" t="inlineStr">
        <is>
          <t>Kleding</t>
        </is>
      </c>
      <c r="C17" s="31">
        <f>SUMIFS(FIFO_Berekening!$L$2:$L$8,FIFO_Berekening!$M$2:$M$8,B17)</f>
        <v/>
      </c>
    </row>
    <row r="18">
      <c r="B18" s="2" t="inlineStr">
        <is>
          <t>Kantoorbenodigdheden</t>
        </is>
      </c>
      <c r="C18" s="28">
        <f>SUMIFS(FIFO_Berekening!$L$2:$L$8,FIFO_Berekening!$M$2:$M$8,B18)</f>
        <v/>
      </c>
    </row>
    <row r="19"/>
    <row r="20">
      <c r="B20" s="14" t="inlineStr">
        <is>
          <t>Voorraadwaarde-ontwikkeling per maand</t>
        </is>
      </c>
    </row>
    <row r="21">
      <c r="B21" s="20" t="inlineStr">
        <is>
          <t>Maand</t>
        </is>
      </c>
      <c r="C21" s="20" t="inlineStr">
        <is>
          <t>Inkoopwaarde</t>
        </is>
      </c>
    </row>
    <row r="22">
      <c r="B22" s="2" t="inlineStr">
        <is>
          <t>Januari 2026</t>
        </is>
      </c>
      <c r="C22" s="28">
        <f>SUMIFS(Voorraadmutaties!$N$2:$N$11,Voorraadmutaties!$U$2:$U$11,2026,Voorraadmutaties!$V$2:$V$11,1)</f>
        <v/>
      </c>
    </row>
    <row r="23">
      <c r="B23" s="9" t="inlineStr">
        <is>
          <t>Februari 2026</t>
        </is>
      </c>
      <c r="C23" s="31">
        <f>SUMIFS(Voorraadmutaties!$N$2:$N$11,Voorraadmutaties!$U$2:$U$11,2026,Voorraadmutaties!$V$2:$V$11,2)</f>
        <v/>
      </c>
    </row>
    <row r="24">
      <c r="B24" s="2" t="inlineStr">
        <is>
          <t>Maart 2026</t>
        </is>
      </c>
      <c r="C24" s="28">
        <f>SUMIFS(Voorraadmutaties!$N$2:$N$11,Voorraadmutaties!$U$2:$U$11,2026,Voorraadmutaties!$V$2:$V$11,3)</f>
        <v/>
      </c>
    </row>
  </sheetData>
  <mergeCells count="4">
    <mergeCell ref="A1:G1"/>
    <mergeCell ref="B3:C3"/>
    <mergeCell ref="B12:C12"/>
    <mergeCell ref="B20:C2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1" t="inlineStr">
        <is>
          <t>Instructie - Voorraadwaardering FIFO</t>
        </is>
      </c>
    </row>
    <row r="2"/>
    <row r="3">
      <c r="A3" s="22" t="inlineStr">
        <is>
          <t>Dit sjabloon berekent de voorraadwaarde volgens de FIFO-methode (First In, First Out).</t>
        </is>
      </c>
    </row>
    <row r="4">
      <c r="A4" s="22" t="inlineStr">
        <is>
          <t>Het is geschikt voor de Nederlandse administratie, inclusief btw-verwerking (21% en 9%).</t>
        </is>
      </c>
    </row>
    <row r="5">
      <c r="A5" s="22" t="inlineStr"/>
    </row>
    <row r="6">
      <c r="A6" s="23" t="inlineStr">
        <is>
          <t>1. Sheet 'Voorraadmutaties'</t>
        </is>
      </c>
    </row>
    <row r="7">
      <c r="A7" s="22" t="inlineStr">
        <is>
          <t>Vul hier elke voorraadbeweging in: inkoop, verkoop, correctie of retour.</t>
        </is>
      </c>
    </row>
    <row r="8">
      <c r="A8" s="22" t="inlineStr">
        <is>
          <t>De kolommen Aantal in, Aantal uit, Stuksprijs inkoop en Verkoopprijs per stuk zijn invoercellen (lichtgeel).</t>
        </is>
      </c>
    </row>
    <row r="9">
      <c r="A9" s="22" t="inlineStr">
        <is>
          <t>Overige kolommen worden automatisch berekend, zoals totale waarde, FIFO-kostprijs en voorraadstatus.</t>
        </is>
      </c>
    </row>
    <row r="10">
      <c r="A10" s="22" t="inlineStr">
        <is>
          <t>De kolom 'Status' toont 'Tekort' (rood) wanneer de voorraad na mutatie negatief is, anders 'OK' (groen).</t>
        </is>
      </c>
    </row>
    <row r="11">
      <c r="A11" s="22" t="inlineStr"/>
    </row>
    <row r="12">
      <c r="A12" s="23" t="inlineStr">
        <is>
          <t>2. Sheet 'FIFO_Berekening'</t>
        </is>
      </c>
    </row>
    <row r="13">
      <c r="A13" s="22" t="inlineStr">
        <is>
          <t>Dit technische rekenblad bevat de inkooplagen (batches) per artikel.</t>
        </is>
      </c>
    </row>
    <row r="14">
      <c r="A14" s="22" t="inlineStr">
        <is>
          <t>Per batch wordt bijgehouden hoeveel is ingekocht, verkocht en welke waarde nog resteert.</t>
        </is>
      </c>
    </row>
    <row r="15">
      <c r="A15" s="22" t="inlineStr">
        <is>
          <t>De FIFO-methode betekent dat de oudste inkooplaag als eerste wordt verbruikt bij een verkoop.</t>
        </is>
      </c>
    </row>
    <row r="16">
      <c r="A16" s="22" t="inlineStr">
        <is>
          <t>De kolom 'Categorie' wordt automatisch opgehaald via VLOOKUP vanuit het blad Voorraadmutaties.</t>
        </is>
      </c>
    </row>
    <row r="17">
      <c r="A17" s="22" t="inlineStr"/>
    </row>
    <row r="18">
      <c r="A18" s="23" t="inlineStr">
        <is>
          <t>3. Sheet 'Dashboard'</t>
        </is>
      </c>
    </row>
    <row r="19">
      <c r="A19" s="22" t="inlineStr">
        <is>
          <t>Managementoverzicht met kerncijfers: totale voorraadwaarde, brutomarge, aantal tekorten en meer.</t>
        </is>
      </c>
    </row>
    <row r="20">
      <c r="A20" s="22" t="inlineStr">
        <is>
          <t>Grafieken tonen de voorraadwaarde per categorie en de ontwikkeling per maand (januari t/m maart 2026).</t>
        </is>
      </c>
    </row>
    <row r="21">
      <c r="A21" s="22" t="inlineStr"/>
    </row>
    <row r="22">
      <c r="A22" s="23" t="inlineStr">
        <is>
          <t>Kleurcodes:</t>
        </is>
      </c>
    </row>
    <row r="23">
      <c r="A23" s="22" t="inlineStr">
        <is>
          <t>- Lichtgeel (#FFFBEB): invoercellen die u zelf mag wijzigen.</t>
        </is>
      </c>
    </row>
    <row r="24">
      <c r="A24" s="22" t="inlineStr">
        <is>
          <t>- Groen (#16A34A): positieve waarden, marge of status 'OK'.</t>
        </is>
      </c>
    </row>
    <row r="25">
      <c r="A25" s="22" t="inlineStr">
        <is>
          <t>- Rood (#DC2626): negatieve waarden, tekorten of status 'Tekort'.</t>
        </is>
      </c>
    </row>
    <row r="26">
      <c r="A26" s="22" t="inlineStr">
        <is>
          <t>- Donkerblauw/grijs (#1E293B): kopteksten van tabellen.</t>
        </is>
      </c>
    </row>
    <row r="27">
      <c r="A27" s="22" t="inlineStr">
        <is>
          <t>- Rood-accent (#C8102E): subkopjes op het dashboard.</t>
        </is>
      </c>
    </row>
    <row r="28">
      <c r="A28" s="22" t="inlineStr"/>
    </row>
    <row r="29">
      <c r="A29" s="24" t="inlineStr">
        <is>
          <t>Let op: dit sjabloon bevat geen sheetbeveiliging, geen printinstellingen en geen defined names.</t>
        </is>
      </c>
    </row>
    <row r="30">
      <c r="A30" s="22" t="inlineStr">
        <is>
          <t>Alle formules gebruiken directe celverwijzingen tussen de bladen, zodat het bestand overal werkt.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2026-07-02T20:37:53Z</dcterms:created>
  <dcterms:modified xmlns:dcterms="http://purl.org/dc/terms/" xmlns:xsi="http://www.w3.org/2001/XMLSchema-instance" xsi:type="dcterms:W3CDTF">2026-07-02T20:37:53Z</dcterms:modified>
</cp:coreProperties>
</file>