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oertuigen" sheetId="1" state="visible" r:id="rId1"/>
    <sheet xmlns:r="http://schemas.openxmlformats.org/officeDocument/2006/relationships" name="Ritten &amp; Kosten" sheetId="2" state="visible" r:id="rId2"/>
    <sheet xmlns:r="http://schemas.openxmlformats.org/officeDocument/2006/relationships" name="Onderhoud &amp; Keuringen" sheetId="3" state="visible" r:id="rId3"/>
    <sheet xmlns:r="http://schemas.openxmlformats.org/officeDocument/2006/relationships" name="Dashboard" sheetId="4" state="visible" r:id="rId4"/>
    <sheet xmlns:r="http://schemas.openxmlformats.org/officeDocument/2006/relationships" name="Toelichting" sheetId="5" state="visible" r:id="rId5"/>
  </sheets>
  <definedNames>
    <definedName name="_xlnm._FilterDatabase" localSheetId="0" hidden="1">'Voertuigen'!$A$2:$S$12</definedName>
    <definedName name="_xlnm._FilterDatabase" localSheetId="1" hidden="1">'Ritten &amp; Kosten'!$A$2:$P$12</definedName>
    <definedName name="_xlnm._FilterDatabase" localSheetId="2" hidden="1">'Onderhoud &amp; Keuringen'!$A$2:$N$12</definedName>
  </definedNames>
  <calcPr calcId="124519" fullCalcOnLoad="1"/>
</workbook>
</file>

<file path=xl/styles.xml><?xml version="1.0" encoding="utf-8"?>
<styleSheet xmlns="http://schemas.openxmlformats.org/spreadsheetml/2006/main">
  <numFmts count="4">
    <numFmt numFmtId="164" formatCode="DD-MM-JJJJ"/>
    <numFmt numFmtId="165" formatCode="&quot;€&quot; #.##0,00"/>
    <numFmt numFmtId="166" formatCode="#.##0"/>
    <numFmt numFmtId="167" formatCode="0.0"/>
  </numFmts>
  <fonts count="4">
    <font>
      <name val="Calibri"/>
      <family val="2"/>
      <color theme="1"/>
      <sz val="11"/>
      <scheme val="minor"/>
    </font>
    <font>
      <name val="Calibri"/>
      <b val="1"/>
      <color rgb="001E293B"/>
      <sz val="16"/>
    </font>
    <font>
      <name val="Calibri"/>
      <b val="1"/>
      <color rgb="00FFFFFF"/>
      <sz val="11"/>
    </font>
    <font>
      <b val="1"/>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0" fillId="4" borderId="1" applyAlignment="1" pivotButton="0" quotePrefix="0" xfId="0">
      <alignment horizontal="left" vertical="center"/>
    </xf>
    <xf numFmtId="164" fontId="0" fillId="4" borderId="1" applyAlignment="1" pivotButton="0" quotePrefix="0" xfId="0">
      <alignment horizontal="left" vertical="center"/>
    </xf>
    <xf numFmtId="165" fontId="0" fillId="4" borderId="1" applyAlignment="1" pivotButton="0" quotePrefix="0" xfId="0">
      <alignment horizontal="left" vertical="center"/>
    </xf>
    <xf numFmtId="166" fontId="0" fillId="4" borderId="1" applyAlignment="1" pivotButton="0" quotePrefix="0" xfId="0">
      <alignment horizontal="left" vertical="center"/>
    </xf>
    <xf numFmtId="0" fontId="0" fillId="5" borderId="1" applyAlignment="1" pivotButton="0" quotePrefix="0" xfId="0">
      <alignment horizontal="left" vertical="center"/>
    </xf>
    <xf numFmtId="164" fontId="0" fillId="5" borderId="1" applyAlignment="1" pivotButton="0" quotePrefix="0" xfId="0">
      <alignment horizontal="left" vertical="center"/>
    </xf>
    <xf numFmtId="165" fontId="0" fillId="5" borderId="1" applyAlignment="1" pivotButton="0" quotePrefix="0" xfId="0">
      <alignment horizontal="left" vertical="center"/>
    </xf>
    <xf numFmtId="166" fontId="0" fillId="5" borderId="1" applyAlignment="1" pivotButton="0" quotePrefix="0" xfId="0">
      <alignment horizontal="left" vertical="center"/>
    </xf>
    <xf numFmtId="0" fontId="2" fillId="6" borderId="1" pivotButton="0" quotePrefix="0" xfId="0"/>
    <xf numFmtId="165" fontId="2" fillId="6" borderId="1" pivotButton="0" quotePrefix="0" xfId="0"/>
    <xf numFmtId="167" fontId="0" fillId="4" borderId="1" applyAlignment="1" pivotButton="0" quotePrefix="0" xfId="0">
      <alignment horizontal="left" vertical="center"/>
    </xf>
    <xf numFmtId="167" fontId="0" fillId="5" borderId="1" applyAlignment="1" pivotButton="0" quotePrefix="0" xfId="0">
      <alignment horizontal="left" vertical="center"/>
    </xf>
    <xf numFmtId="166" fontId="2" fillId="6" borderId="1" pivotButton="0" quotePrefix="0" xfId="0"/>
    <xf numFmtId="167" fontId="2" fillId="6" borderId="1" pivotButton="0" quotePrefix="0" xfId="0"/>
    <xf numFmtId="0" fontId="3" fillId="0" borderId="0" pivotButton="0" quotePrefix="0" xfId="0"/>
    <xf numFmtId="165" fontId="0" fillId="0" borderId="0" pivotButton="0" quotePrefix="0" xfId="0"/>
    <xf numFmtId="0" fontId="2" fillId="6" borderId="0" pivotButton="0" quotePrefix="0" xfId="0"/>
    <xf numFmtId="0" fontId="2" fillId="2" borderId="1" pivotButton="0" quotePrefix="0" xfId="0"/>
    <xf numFmtId="0" fontId="0" fillId="4" borderId="1" pivotButton="0" quotePrefix="0" xfId="0"/>
    <xf numFmtId="165" fontId="0" fillId="4" borderId="1" pivotButton="0" quotePrefix="0" xfId="0"/>
    <xf numFmtId="0" fontId="0" fillId="5" borderId="1" pivotButton="0" quotePrefix="0" xfId="0"/>
    <xf numFmtId="165" fontId="0" fillId="5" borderId="1" pivotButton="0" quotePrefix="0" xfId="0"/>
    <xf numFmtId="0" fontId="3" fillId="0" borderId="1" pivotButton="0" quotePrefix="0" xfId="0"/>
    <xf numFmtId="166" fontId="0" fillId="3" borderId="1" pivotButton="0" quotePrefix="0" xfId="0"/>
    <xf numFmtId="165" fontId="0" fillId="3" borderId="1" pivotButton="0" quotePrefix="0" xfId="0"/>
    <xf numFmtId="167" fontId="0" fillId="3" borderId="1" pivotButton="0" quotePrefix="0" xfId="0"/>
    <xf numFmtId="0" fontId="3" fillId="5" borderId="1" applyAlignment="1" pivotButton="0" quotePrefix="0" xfId="0">
      <alignment horizontal="left" vertical="top"/>
    </xf>
    <xf numFmtId="0" fontId="0" fillId="5" borderId="1" applyAlignment="1" pivotButton="0" quotePrefix="0" xfId="0">
      <alignment horizontal="left" vertical="center" wrapText="1"/>
    </xf>
    <xf numFmtId="0" fontId="3" fillId="4" borderId="1" applyAlignment="1" pivotButton="0" quotePrefix="0" xfId="0">
      <alignment horizontal="left" vertical="top"/>
    </xf>
    <xf numFmtId="0" fontId="0" fillId="4" borderId="1" applyAlignment="1" pivotButton="0" quotePrefix="0" xfId="0">
      <alignment horizontal="left" vertical="center" wrapText="1"/>
    </xf>
  </cellXfs>
  <cellStyles count="1">
    <cellStyle name="Normal" xfId="0" builtinId="0" hidden="0"/>
  </cellStyles>
  <dxfs count="1">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Jaarlijkse kosten per voertuig</a:t>
            </a:r>
          </a:p>
        </rich>
      </tx>
    </title>
    <plotArea>
      <barChart>
        <barDir val="col"/>
        <grouping val="clustered"/>
        <ser>
          <idx val="0"/>
          <order val="0"/>
          <tx>
            <strRef>
              <f>'Dashboard'!E14</f>
            </strRef>
          </tx>
          <spPr>
            <a:solidFill xmlns:a="http://schemas.openxmlformats.org/drawingml/2006/main">
              <a:srgbClr val="0F766E"/>
            </a:solidFill>
            <a:ln xmlns:a="http://schemas.openxmlformats.org/drawingml/2006/main">
              <a:prstDash val="solid"/>
            </a:ln>
          </spPr>
          <cat>
            <numRef>
              <f>'Dashboard'!$D$15:$D$24</f>
            </numRef>
          </cat>
          <val>
            <numRef>
              <f>'Dashboard'!$E$15:$E$24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Kenteken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Brandstofkosten per voertuig</a:t>
            </a:r>
          </a:p>
        </rich>
      </tx>
    </title>
    <plotArea>
      <barChart>
        <barDir val="col"/>
        <grouping val="clustered"/>
        <ser>
          <idx val="0"/>
          <order val="0"/>
          <tx>
            <strRef>
              <f>'Dashboard'!F14</f>
            </strRef>
          </tx>
          <spPr>
            <a:solidFill xmlns:a="http://schemas.openxmlformats.org/drawingml/2006/main">
              <a:srgbClr val="14B8A6"/>
            </a:solidFill>
            <a:ln xmlns:a="http://schemas.openxmlformats.org/drawingml/2006/main">
              <a:prstDash val="solid"/>
            </a:ln>
          </spPr>
          <cat>
            <numRef>
              <f>'Dashboard'!$D$15:$D$24</f>
            </numRef>
          </cat>
          <val>
            <numRef>
              <f>'Dashboard'!$F$15:$F$24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Kenteken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Kosten per maand</a:t>
            </a:r>
          </a:p>
        </rich>
      </tx>
    </title>
    <plotArea>
      <lineChart>
        <grouping val="standard"/>
        <ser>
          <idx val="0"/>
          <order val="0"/>
          <tx>
            <strRef>
              <f>'Dashboard'!B27</f>
            </strRef>
          </tx>
          <spPr>
            <a:ln xmlns:a="http://schemas.openxmlformats.org/drawingml/2006/main" w="25000">
              <a:prstDash val="solid"/>
            </a:ln>
          </spPr>
          <marker>
            <symbol val="none"/>
            <spPr>
              <a:ln xmlns:a="http://schemas.openxmlformats.org/drawingml/2006/main">
                <a:prstDash val="solid"/>
              </a:ln>
            </spPr>
          </marker>
          <cat>
            <numRef>
              <f>'Dashboard'!$A$28:$A$33</f>
            </numRef>
          </cat>
          <val>
            <numRef>
              <f>'Dashboard'!$B$28:$B$33</f>
            </numRef>
          </val>
        </ser>
        <axId val="10"/>
        <axId val="100"/>
      </lineChart>
      <catAx>
        <axId val="10"/>
        <scaling>
          <orientation val="minMax"/>
        </scaling>
        <axPos val="l"/>
        <title>
          <tx>
            <rich>
              <a:bodyPr xmlns:a="http://schemas.openxmlformats.org/drawingml/2006/main"/>
              <a:p xmlns:a="http://schemas.openxmlformats.org/drawingml/2006/main">
                <a:pPr>
                  <a:defRPr/>
                </a:pPr>
                <a:r>
                  <a:t>Maand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a:t>
                </a:r>
              </a:p>
            </rich>
          </tx>
        </title>
        <majorTickMark val="none"/>
        <minorTickMark val="none"/>
        <crossAx val="10"/>
      </valAx>
    </plotArea>
    <legend>
      <legendPos val="r"/>
    </legend>
    <plotVisOnly val="1"/>
    <dispBlanksAs val="gap"/>
  </chart>
</chartSpace>
</file>

<file path=xl/charts/chart4.xml><?xml version="1.0" encoding="utf-8"?>
<chartSpace xmlns="http://schemas.openxmlformats.org/drawingml/2006/chart">
  <chart>
    <title>
      <tx>
        <rich>
          <a:bodyPr xmlns:a="http://schemas.openxmlformats.org/drawingml/2006/main"/>
          <a:p xmlns:a="http://schemas.openxmlformats.org/drawingml/2006/main">
            <a:pPr>
              <a:defRPr/>
            </a:pPr>
            <a:r>
              <a:t>Verdeling voertuigstatussen</a:t>
            </a:r>
          </a:p>
        </rich>
      </tx>
    </title>
    <plotArea>
      <pieChart>
        <varyColors val="1"/>
        <ser>
          <idx val="0"/>
          <order val="0"/>
          <tx>
            <strRef>
              <f>'Dashboard'!B14</f>
            </strRef>
          </tx>
          <spPr>
            <a:ln xmlns:a="http://schemas.openxmlformats.org/drawingml/2006/main">
              <a:prstDash val="solid"/>
            </a:ln>
          </spPr>
          <cat>
            <numRef>
              <f>'Dashboard'!$A$15:$A$17</f>
            </numRef>
          </cat>
          <val>
            <numRef>
              <f>'Dashboard'!$B$15:$B$17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chart" Target="/xl/charts/chart4.xml" Id="rId4"/></Relationships>
</file>

<file path=xl/drawings/drawing1.xml><?xml version="1.0" encoding="utf-8"?>
<wsDr xmlns="http://schemas.openxmlformats.org/drawingml/2006/spreadsheetDrawing">
  <oneCellAnchor>
    <from>
      <col>7</col>
      <colOff>0</colOff>
      <row>1</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15</col>
      <colOff>0</colOff>
      <row>1</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oneCellAnchor>
    <from>
      <col>15</col>
      <colOff>0</colOff>
      <row>19</row>
      <rowOff>0</rowOff>
    </from>
    <ext cx="4320000" cy="3240000"/>
    <graphicFrame>
      <nvGraphicFramePr>
        <cNvPr id="4" name="Chart 4"/>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4"/>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3"/>
  <sheetViews>
    <sheetView workbookViewId="0">
      <pane ySplit="2" topLeftCell="A3" activePane="bottomLeft" state="frozen"/>
      <selection pane="bottomLeft" activeCell="A1" sqref="A1"/>
    </sheetView>
  </sheetViews>
  <sheetFormatPr baseColWidth="8" defaultRowHeight="15"/>
  <cols>
    <col width="10" customWidth="1" min="1" max="1"/>
    <col width="11" customWidth="1" min="2" max="2"/>
    <col width="12" customWidth="1" min="3" max="3"/>
    <col width="12" customWidth="1" min="4" max="4"/>
    <col width="13" customWidth="1" min="5" max="5"/>
    <col width="13" customWidth="1" min="6" max="6"/>
    <col width="14" customWidth="1" min="7" max="7"/>
    <col width="14" customWidth="1" min="8" max="8"/>
    <col width="12" customWidth="1" min="9" max="9"/>
    <col width="11" customWidth="1" min="10" max="10"/>
    <col width="16" customWidth="1" min="11" max="11"/>
    <col width="14" customWidth="1" min="12" max="12"/>
    <col width="14" customWidth="1" min="13" max="13"/>
    <col width="13" customWidth="1" min="14" max="14"/>
    <col width="16" customWidth="1" min="15" max="15"/>
    <col width="13" customWidth="1" min="16" max="16"/>
    <col width="16" customWidth="1" min="17" max="17"/>
    <col width="12" customWidth="1" min="18" max="18"/>
    <col width="17" customWidth="1" min="19" max="19"/>
  </cols>
  <sheetData>
    <row r="1" ht="28" customHeight="1">
      <c r="A1" s="1" t="inlineStr">
        <is>
          <t>Wagenparkbeheer - Voertuigenregister 2026</t>
        </is>
      </c>
    </row>
    <row r="2">
      <c r="A2" s="2" t="inlineStr">
        <is>
          <t>Voertuig-ID</t>
        </is>
      </c>
      <c r="B2" s="2" t="inlineStr">
        <is>
          <t>Kenteken</t>
        </is>
      </c>
      <c r="C2" s="2" t="inlineStr">
        <is>
          <t>Merk</t>
        </is>
      </c>
      <c r="D2" s="2" t="inlineStr">
        <is>
          <t>Model</t>
        </is>
      </c>
      <c r="E2" s="2" t="inlineStr">
        <is>
          <t>Type brandstof</t>
        </is>
      </c>
      <c r="F2" s="2" t="inlineStr">
        <is>
          <t>Aanschafdatum</t>
        </is>
      </c>
      <c r="G2" s="2" t="inlineStr">
        <is>
          <t>Aanschafwaarde</t>
        </is>
      </c>
      <c r="H2" s="2" t="inlineStr">
        <is>
          <t>Cataloguswaarde</t>
        </is>
      </c>
      <c r="I2" s="2" t="inlineStr">
        <is>
          <t>Restwaarde</t>
        </is>
      </c>
      <c r="J2" s="2" t="inlineStr">
        <is>
          <t>Km-stand</t>
        </is>
      </c>
      <c r="K2" s="2" t="inlineStr">
        <is>
          <t>Jaarlijkse lease/afschrijving</t>
        </is>
      </c>
      <c r="L2" s="2" t="inlineStr">
        <is>
          <t>Verzekering per jaar</t>
        </is>
      </c>
      <c r="M2" s="2" t="inlineStr">
        <is>
          <t>Wegenbelasting per jaar</t>
        </is>
      </c>
      <c r="N2" s="2" t="inlineStr">
        <is>
          <t>APK-vervaldatum</t>
        </is>
      </c>
      <c r="O2" s="2" t="inlineStr">
        <is>
          <t>Beheerder</t>
        </is>
      </c>
      <c r="P2" s="2" t="inlineStr">
        <is>
          <t>Status</t>
        </is>
      </c>
      <c r="Q2" s="2" t="inlineStr">
        <is>
          <t>Totale jaarlijkse kosten</t>
        </is>
      </c>
      <c r="R2" s="2" t="inlineStr">
        <is>
          <t>Leeftijd voertuig</t>
        </is>
      </c>
      <c r="S2" s="2" t="inlineStr">
        <is>
          <t>APK-waarschuwing</t>
        </is>
      </c>
    </row>
    <row r="3">
      <c r="A3" s="3" t="inlineStr">
        <is>
          <t>VZ-001</t>
        </is>
      </c>
      <c r="B3" s="3" t="inlineStr">
        <is>
          <t>12-ABC-3</t>
        </is>
      </c>
      <c r="C3" s="3" t="inlineStr">
        <is>
          <t>Volkswagen</t>
        </is>
      </c>
      <c r="D3" s="3" t="inlineStr">
        <is>
          <t>Golf</t>
        </is>
      </c>
      <c r="E3" s="3" t="inlineStr">
        <is>
          <t>Benzine</t>
        </is>
      </c>
      <c r="F3" s="4" t="inlineStr">
        <is>
          <t>14-01-2026</t>
        </is>
      </c>
      <c r="G3" s="5" t="n">
        <v>28500</v>
      </c>
      <c r="H3" s="5" t="n">
        <v>27900</v>
      </c>
      <c r="I3" s="5" t="n">
        <v>15000</v>
      </c>
      <c r="J3" s="6" t="n">
        <v>18500</v>
      </c>
      <c r="K3" s="5" t="n">
        <v>4200</v>
      </c>
      <c r="L3" s="5" t="n">
        <v>950</v>
      </c>
      <c r="M3" s="5" t="n">
        <v>480</v>
      </c>
      <c r="N3" s="4" t="inlineStr">
        <is>
          <t>10-03-2027</t>
        </is>
      </c>
      <c r="O3" s="3" t="inlineStr">
        <is>
          <t>Sanne de Vries</t>
        </is>
      </c>
      <c r="P3" s="3" t="inlineStr">
        <is>
          <t>In gebruik</t>
        </is>
      </c>
      <c r="Q3" s="5">
        <f>SUM(K3,L3,M3)</f>
        <v/>
      </c>
      <c r="R3" s="3">
        <f>YEAR(TODAY())-YEAR(F3)</f>
        <v/>
      </c>
      <c r="S3" s="3">
        <f>IF(N3&lt;TODAY()+30,"APK binnen 30 dagen","OK")</f>
        <v/>
      </c>
    </row>
    <row r="4">
      <c r="A4" s="7" t="inlineStr">
        <is>
          <t>VZ-002</t>
        </is>
      </c>
      <c r="B4" s="7" t="inlineStr">
        <is>
          <t>45-DEF-6</t>
        </is>
      </c>
      <c r="C4" s="7" t="inlineStr">
        <is>
          <t>Toyota</t>
        </is>
      </c>
      <c r="D4" s="7" t="inlineStr">
        <is>
          <t>Corolla</t>
        </is>
      </c>
      <c r="E4" s="7" t="inlineStr">
        <is>
          <t>Hybride</t>
        </is>
      </c>
      <c r="F4" s="8" t="inlineStr">
        <is>
          <t>22-02-2026</t>
        </is>
      </c>
      <c r="G4" s="9" t="n">
        <v>31200</v>
      </c>
      <c r="H4" s="9" t="n">
        <v>30500</v>
      </c>
      <c r="I4" s="9" t="n">
        <v>17000</v>
      </c>
      <c r="J4" s="10" t="n">
        <v>12300</v>
      </c>
      <c r="K4" s="9" t="n">
        <v>4500</v>
      </c>
      <c r="L4" s="9" t="n">
        <v>890</v>
      </c>
      <c r="M4" s="9" t="n">
        <v>320</v>
      </c>
      <c r="N4" s="8" t="inlineStr">
        <is>
          <t>18-07-2026</t>
        </is>
      </c>
      <c r="O4" s="7" t="inlineStr">
        <is>
          <t>Daan Bakker</t>
        </is>
      </c>
      <c r="P4" s="7" t="inlineStr">
        <is>
          <t>In gebruik</t>
        </is>
      </c>
      <c r="Q4" s="9">
        <f>SUM(K4,L4,M4)</f>
        <v/>
      </c>
      <c r="R4" s="7">
        <f>YEAR(TODAY())-YEAR(F4)</f>
        <v/>
      </c>
      <c r="S4" s="7">
        <f>IF(N4&lt;TODAY()+30,"APK binnen 30 dagen","OK")</f>
        <v/>
      </c>
    </row>
    <row r="5">
      <c r="A5" s="3" t="inlineStr">
        <is>
          <t>VZ-003</t>
        </is>
      </c>
      <c r="B5" s="3" t="inlineStr">
        <is>
          <t>78-GHI-9</t>
        </is>
      </c>
      <c r="C5" s="3" t="inlineStr">
        <is>
          <t>Ford</t>
        </is>
      </c>
      <c r="D5" s="3" t="inlineStr">
        <is>
          <t>Transit</t>
        </is>
      </c>
      <c r="E5" s="3" t="inlineStr">
        <is>
          <t>Diesel</t>
        </is>
      </c>
      <c r="F5" s="4" t="inlineStr">
        <is>
          <t>05-03-2026</t>
        </is>
      </c>
      <c r="G5" s="5" t="n">
        <v>38900</v>
      </c>
      <c r="H5" s="5" t="n">
        <v>37500</v>
      </c>
      <c r="I5" s="5" t="n">
        <v>19000</v>
      </c>
      <c r="J5" s="6" t="n">
        <v>34500</v>
      </c>
      <c r="K5" s="5" t="n">
        <v>5600</v>
      </c>
      <c r="L5" s="5" t="n">
        <v>1200</v>
      </c>
      <c r="M5" s="5" t="n">
        <v>650</v>
      </c>
      <c r="N5" s="4" t="inlineStr">
        <is>
          <t>02-08-2026</t>
        </is>
      </c>
      <c r="O5" s="3" t="inlineStr">
        <is>
          <t>Emma Jansen</t>
        </is>
      </c>
      <c r="P5" s="3" t="inlineStr">
        <is>
          <t>In onderhoud</t>
        </is>
      </c>
      <c r="Q5" s="5">
        <f>SUM(K5,L5,M5)</f>
        <v/>
      </c>
      <c r="R5" s="3">
        <f>YEAR(TODAY())-YEAR(F5)</f>
        <v/>
      </c>
      <c r="S5" s="3">
        <f>IF(N5&lt;TODAY()+30,"APK binnen 30 dagen","OK")</f>
        <v/>
      </c>
    </row>
    <row r="6">
      <c r="A6" s="7" t="inlineStr">
        <is>
          <t>VZ-004</t>
        </is>
      </c>
      <c r="B6" s="7" t="inlineStr">
        <is>
          <t>23-JKL-4</t>
        </is>
      </c>
      <c r="C6" s="7" t="inlineStr">
        <is>
          <t>Volvo</t>
        </is>
      </c>
      <c r="D6" s="7" t="inlineStr">
        <is>
          <t>XC40</t>
        </is>
      </c>
      <c r="E6" s="7" t="inlineStr">
        <is>
          <t>Diesel</t>
        </is>
      </c>
      <c r="F6" s="8" t="inlineStr">
        <is>
          <t>11-04-2026</t>
        </is>
      </c>
      <c r="G6" s="9" t="n">
        <v>44500</v>
      </c>
      <c r="H6" s="9" t="n">
        <v>43000</v>
      </c>
      <c r="I6" s="9" t="n">
        <v>24000</v>
      </c>
      <c r="J6" s="10" t="n">
        <v>9800</v>
      </c>
      <c r="K6" s="9" t="n">
        <v>6200</v>
      </c>
      <c r="L6" s="9" t="n">
        <v>1350</v>
      </c>
      <c r="M6" s="9" t="n">
        <v>590</v>
      </c>
      <c r="N6" s="8" t="inlineStr">
        <is>
          <t>25-12-2026</t>
        </is>
      </c>
      <c r="O6" s="7" t="inlineStr">
        <is>
          <t>Lars Visser</t>
        </is>
      </c>
      <c r="P6" s="7" t="inlineStr">
        <is>
          <t>In gebruik</t>
        </is>
      </c>
      <c r="Q6" s="9">
        <f>SUM(K6,L6,M6)</f>
        <v/>
      </c>
      <c r="R6" s="7">
        <f>YEAR(TODAY())-YEAR(F6)</f>
        <v/>
      </c>
      <c r="S6" s="7">
        <f>IF(N6&lt;TODAY()+30,"APK binnen 30 dagen","OK")</f>
        <v/>
      </c>
    </row>
    <row r="7">
      <c r="A7" s="3" t="inlineStr">
        <is>
          <t>VZ-005</t>
        </is>
      </c>
      <c r="B7" s="3" t="inlineStr">
        <is>
          <t>56-MNO-7</t>
        </is>
      </c>
      <c r="C7" s="3" t="inlineStr">
        <is>
          <t>Peugeot</t>
        </is>
      </c>
      <c r="D7" s="3" t="inlineStr">
        <is>
          <t>308</t>
        </is>
      </c>
      <c r="E7" s="3" t="inlineStr">
        <is>
          <t>Benzine</t>
        </is>
      </c>
      <c r="F7" s="4" t="inlineStr">
        <is>
          <t>19-05-2026</t>
        </is>
      </c>
      <c r="G7" s="5" t="n">
        <v>26800</v>
      </c>
      <c r="H7" s="5" t="n">
        <v>26100</v>
      </c>
      <c r="I7" s="5" t="n">
        <v>13500</v>
      </c>
      <c r="J7" s="6" t="n">
        <v>21200</v>
      </c>
      <c r="K7" s="5" t="n">
        <v>3900</v>
      </c>
      <c r="L7" s="5" t="n">
        <v>870</v>
      </c>
      <c r="M7" s="5" t="n">
        <v>410</v>
      </c>
      <c r="N7" s="4" t="inlineStr">
        <is>
          <t>14-09-2026</t>
        </is>
      </c>
      <c r="O7" s="3" t="inlineStr">
        <is>
          <t>Sophie Smit</t>
        </is>
      </c>
      <c r="P7" s="3" t="inlineStr">
        <is>
          <t>In gebruik</t>
        </is>
      </c>
      <c r="Q7" s="5">
        <f>SUM(K7,L7,M7)</f>
        <v/>
      </c>
      <c r="R7" s="3">
        <f>YEAR(TODAY())-YEAR(F7)</f>
        <v/>
      </c>
      <c r="S7" s="3">
        <f>IF(N7&lt;TODAY()+30,"APK binnen 30 dagen","OK")</f>
        <v/>
      </c>
    </row>
    <row r="8">
      <c r="A8" s="7" t="inlineStr">
        <is>
          <t>VZ-006</t>
        </is>
      </c>
      <c r="B8" s="7" t="inlineStr">
        <is>
          <t>89-PQR-1</t>
        </is>
      </c>
      <c r="C8" s="7" t="inlineStr">
        <is>
          <t>Opel</t>
        </is>
      </c>
      <c r="D8" s="7" t="inlineStr">
        <is>
          <t>Astra</t>
        </is>
      </c>
      <c r="E8" s="7" t="inlineStr">
        <is>
          <t>Benzine</t>
        </is>
      </c>
      <c r="F8" s="8" t="inlineStr">
        <is>
          <t>02-06-2026</t>
        </is>
      </c>
      <c r="G8" s="9" t="n">
        <v>25400</v>
      </c>
      <c r="H8" s="9" t="n">
        <v>24800</v>
      </c>
      <c r="I8" s="9" t="n">
        <v>12800</v>
      </c>
      <c r="J8" s="10" t="n">
        <v>27600</v>
      </c>
      <c r="K8" s="9" t="n">
        <v>3750</v>
      </c>
      <c r="L8" s="9" t="n">
        <v>820</v>
      </c>
      <c r="M8" s="9" t="n">
        <v>400</v>
      </c>
      <c r="N8" s="8" t="inlineStr">
        <is>
          <t>30-07-2026</t>
        </is>
      </c>
      <c r="O8" s="7" t="inlineStr">
        <is>
          <t>Bram Mulder</t>
        </is>
      </c>
      <c r="P8" s="7" t="inlineStr">
        <is>
          <t>Verkocht</t>
        </is>
      </c>
      <c r="Q8" s="9">
        <f>SUM(K8,L8,M8)</f>
        <v/>
      </c>
      <c r="R8" s="7">
        <f>YEAR(TODAY())-YEAR(F8)</f>
        <v/>
      </c>
      <c r="S8" s="7">
        <f>IF(N8&lt;TODAY()+30,"APK binnen 30 dagen","OK")</f>
        <v/>
      </c>
    </row>
    <row r="9">
      <c r="A9" s="3" t="inlineStr">
        <is>
          <t>VZ-007</t>
        </is>
      </c>
      <c r="B9" s="3" t="inlineStr">
        <is>
          <t>34-STU-5</t>
        </is>
      </c>
      <c r="C9" s="3" t="inlineStr">
        <is>
          <t>Tesla</t>
        </is>
      </c>
      <c r="D9" s="3" t="inlineStr">
        <is>
          <t>Model 3</t>
        </is>
      </c>
      <c r="E9" s="3" t="inlineStr">
        <is>
          <t>Elektrisch</t>
        </is>
      </c>
      <c r="F9" s="4" t="inlineStr">
        <is>
          <t>15-01-2026</t>
        </is>
      </c>
      <c r="G9" s="5" t="n">
        <v>47500</v>
      </c>
      <c r="H9" s="5" t="n">
        <v>46000</v>
      </c>
      <c r="I9" s="5" t="n">
        <v>28000</v>
      </c>
      <c r="J9" s="6" t="n">
        <v>6400</v>
      </c>
      <c r="K9" s="5" t="n">
        <v>7100</v>
      </c>
      <c r="L9" s="5" t="n">
        <v>1450</v>
      </c>
      <c r="M9" s="5" t="n">
        <v>0</v>
      </c>
      <c r="N9" s="4" t="inlineStr">
        <is>
          <t>20-01-2027</t>
        </is>
      </c>
      <c r="O9" s="3" t="inlineStr">
        <is>
          <t>Julia de Boer</t>
        </is>
      </c>
      <c r="P9" s="3" t="inlineStr">
        <is>
          <t>In gebruik</t>
        </is>
      </c>
      <c r="Q9" s="5">
        <f>SUM(K9,L9,M9)</f>
        <v/>
      </c>
      <c r="R9" s="3">
        <f>YEAR(TODAY())-YEAR(F9)</f>
        <v/>
      </c>
      <c r="S9" s="3">
        <f>IF(N9&lt;TODAY()+30,"APK binnen 30 dagen","OK")</f>
        <v/>
      </c>
    </row>
    <row r="10">
      <c r="A10" s="7" t="inlineStr">
        <is>
          <t>VZ-008</t>
        </is>
      </c>
      <c r="B10" s="7" t="inlineStr">
        <is>
          <t>67-VWX-8</t>
        </is>
      </c>
      <c r="C10" s="7" t="inlineStr">
        <is>
          <t>Skoda</t>
        </is>
      </c>
      <c r="D10" s="7" t="inlineStr">
        <is>
          <t>Octavia</t>
        </is>
      </c>
      <c r="E10" s="7" t="inlineStr">
        <is>
          <t>Diesel</t>
        </is>
      </c>
      <c r="F10" s="8" t="inlineStr">
        <is>
          <t>28-02-2026</t>
        </is>
      </c>
      <c r="G10" s="9" t="n">
        <v>29900</v>
      </c>
      <c r="H10" s="9" t="n">
        <v>29200</v>
      </c>
      <c r="I10" s="9" t="n">
        <v>15500</v>
      </c>
      <c r="J10" s="10" t="n">
        <v>31000</v>
      </c>
      <c r="K10" s="9" t="n">
        <v>4300</v>
      </c>
      <c r="L10" s="9" t="n">
        <v>940</v>
      </c>
      <c r="M10" s="9" t="n">
        <v>470</v>
      </c>
      <c r="N10" s="8" t="inlineStr">
        <is>
          <t>05-08-2026</t>
        </is>
      </c>
      <c r="O10" s="7" t="inlineStr">
        <is>
          <t>Thijs Willems</t>
        </is>
      </c>
      <c r="P10" s="7" t="inlineStr">
        <is>
          <t>In onderhoud</t>
        </is>
      </c>
      <c r="Q10" s="9">
        <f>SUM(K10,L10,M10)</f>
        <v/>
      </c>
      <c r="R10" s="7">
        <f>YEAR(TODAY())-YEAR(F10)</f>
        <v/>
      </c>
      <c r="S10" s="7">
        <f>IF(N10&lt;TODAY()+30,"APK binnen 30 dagen","OK")</f>
        <v/>
      </c>
    </row>
    <row r="11">
      <c r="A11" s="3" t="inlineStr">
        <is>
          <t>VZ-009</t>
        </is>
      </c>
      <c r="B11" s="3" t="inlineStr">
        <is>
          <t>90-YZA-2</t>
        </is>
      </c>
      <c r="C11" s="3" t="inlineStr">
        <is>
          <t>Renault</t>
        </is>
      </c>
      <c r="D11" s="3" t="inlineStr">
        <is>
          <t>Megane</t>
        </is>
      </c>
      <c r="E11" s="3" t="inlineStr">
        <is>
          <t>Benzine</t>
        </is>
      </c>
      <c r="F11" s="4" t="inlineStr">
        <is>
          <t>09-03-2026</t>
        </is>
      </c>
      <c r="G11" s="5" t="n">
        <v>24600</v>
      </c>
      <c r="H11" s="5" t="n">
        <v>24000</v>
      </c>
      <c r="I11" s="5" t="n">
        <v>12000</v>
      </c>
      <c r="J11" s="6" t="n">
        <v>15800</v>
      </c>
      <c r="K11" s="5" t="n">
        <v>3600</v>
      </c>
      <c r="L11" s="5" t="n">
        <v>800</v>
      </c>
      <c r="M11" s="5" t="n">
        <v>390</v>
      </c>
      <c r="N11" s="4" t="inlineStr">
        <is>
          <t>12-10-2026</t>
        </is>
      </c>
      <c r="O11" s="3" t="inlineStr">
        <is>
          <t>Lieke Peters</t>
        </is>
      </c>
      <c r="P11" s="3" t="inlineStr">
        <is>
          <t>In gebruik</t>
        </is>
      </c>
      <c r="Q11" s="5">
        <f>SUM(K11,L11,M11)</f>
        <v/>
      </c>
      <c r="R11" s="3">
        <f>YEAR(TODAY())-YEAR(F11)</f>
        <v/>
      </c>
      <c r="S11" s="3">
        <f>IF(N11&lt;TODAY()+30,"APK binnen 30 dagen","OK")</f>
        <v/>
      </c>
    </row>
    <row r="12">
      <c r="A12" s="7" t="inlineStr">
        <is>
          <t>VZ-010</t>
        </is>
      </c>
      <c r="B12" s="7" t="inlineStr">
        <is>
          <t>11-BCD-6</t>
        </is>
      </c>
      <c r="C12" s="7" t="inlineStr">
        <is>
          <t>Kia</t>
        </is>
      </c>
      <c r="D12" s="7" t="inlineStr">
        <is>
          <t>Ceed</t>
        </is>
      </c>
      <c r="E12" s="7" t="inlineStr">
        <is>
          <t>Hybride</t>
        </is>
      </c>
      <c r="F12" s="8" t="inlineStr">
        <is>
          <t>17-04-2026</t>
        </is>
      </c>
      <c r="G12" s="9" t="n">
        <v>27300</v>
      </c>
      <c r="H12" s="9" t="n">
        <v>26700</v>
      </c>
      <c r="I12" s="9" t="n">
        <v>14200</v>
      </c>
      <c r="J12" s="10" t="n">
        <v>8900</v>
      </c>
      <c r="K12" s="9" t="n">
        <v>3950</v>
      </c>
      <c r="L12" s="9" t="n">
        <v>850</v>
      </c>
      <c r="M12" s="9" t="n">
        <v>350</v>
      </c>
      <c r="N12" s="8" t="inlineStr">
        <is>
          <t>22-11-2026</t>
        </is>
      </c>
      <c r="O12" s="7" t="inlineStr">
        <is>
          <t>Ruben Hendriks</t>
        </is>
      </c>
      <c r="P12" s="7" t="inlineStr">
        <is>
          <t>In gebruik</t>
        </is>
      </c>
      <c r="Q12" s="9">
        <f>SUM(K12,L12,M12)</f>
        <v/>
      </c>
      <c r="R12" s="7">
        <f>YEAR(TODAY())-YEAR(F12)</f>
        <v/>
      </c>
      <c r="S12" s="7">
        <f>IF(N12&lt;TODAY()+30,"APK binnen 30 dagen","OK")</f>
        <v/>
      </c>
    </row>
    <row r="13">
      <c r="A13" s="11" t="inlineStr">
        <is>
          <t>TOTAAL</t>
        </is>
      </c>
      <c r="B13" s="11" t="n"/>
      <c r="C13" s="11" t="n"/>
      <c r="D13" s="11" t="n"/>
      <c r="E13" s="11" t="n"/>
      <c r="F13" s="11" t="n"/>
      <c r="G13" s="12">
        <f>SUM(G3:G12)</f>
        <v/>
      </c>
      <c r="H13" s="11" t="n"/>
      <c r="I13" s="11" t="n"/>
      <c r="J13" s="11" t="n"/>
      <c r="K13" s="11" t="n"/>
      <c r="L13" s="11" t="n"/>
      <c r="M13" s="11" t="n"/>
      <c r="N13" s="11" t="n"/>
      <c r="O13" s="11" t="n"/>
      <c r="P13" s="11" t="n"/>
      <c r="Q13" s="12">
        <f>SUM(Q3:Q12)</f>
        <v/>
      </c>
      <c r="R13" s="11" t="n"/>
      <c r="S13" s="11" t="n"/>
    </row>
  </sheetData>
  <autoFilter ref="A2:S12"/>
  <mergeCells count="1">
    <mergeCell ref="A1:S1"/>
  </mergeCells>
  <conditionalFormatting sqref="S3:S12">
    <cfRule type="expression" priority="1" dxfId="0" stopIfTrue="0">
      <formula>S3&lt;&gt;"OK"</formula>
    </cfRule>
  </conditionalFormatting>
  <conditionalFormatting sqref="P3:P12">
    <cfRule type="expression" priority="2" dxfId="0" stopIfTrue="0">
      <formula>P3="Verkocht"</formula>
    </cfRule>
  </conditionalFormatting>
  <dataValidations count="1">
    <dataValidation sqref="P3:P12" showErrorMessage="1" showInputMessage="1" allowBlank="1" type="list">
      <formula1>"In gebruik,In onderhoud,Verkocht"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15"/>
  <sheetViews>
    <sheetView workbookViewId="0">
      <pane ySplit="2" topLeftCell="A3" activePane="bottomLeft" state="frozen"/>
      <selection pane="bottomLeft" activeCell="A1" sqref="A1"/>
    </sheetView>
  </sheetViews>
  <sheetFormatPr baseColWidth="8" defaultRowHeight="15"/>
  <cols>
    <col width="12" customWidth="1" min="1" max="1"/>
    <col width="11" customWidth="1" min="2" max="2"/>
    <col width="16" customWidth="1" min="3" max="3"/>
    <col width="16" customWidth="1" min="4" max="4"/>
    <col width="12" customWidth="1" min="5" max="5"/>
    <col width="13" customWidth="1" min="6" max="6"/>
    <col width="13" customWidth="1" min="7" max="7"/>
    <col width="13" customWidth="1" min="8" max="8"/>
    <col width="13" customWidth="1" min="9" max="9"/>
    <col width="11" customWidth="1" min="10" max="10"/>
    <col width="14" customWidth="1" min="11" max="11"/>
    <col width="14" customWidth="1" min="12" max="12"/>
    <col width="12" customWidth="1" min="13" max="13"/>
    <col width="15" customWidth="1" min="14" max="14"/>
    <col width="14" customWidth="1" min="15" max="15"/>
    <col width="15" customWidth="1" min="16" max="16"/>
  </cols>
  <sheetData>
    <row r="1" ht="28" customHeight="1">
      <c r="A1" s="1" t="inlineStr">
        <is>
          <t>Ritten &amp; Kosten - Overzicht 2026</t>
        </is>
      </c>
    </row>
    <row r="2">
      <c r="A2" s="2" t="inlineStr">
        <is>
          <t>Datum</t>
        </is>
      </c>
      <c r="B2" s="2" t="inlineStr">
        <is>
          <t>Voertuig-ID</t>
        </is>
      </c>
      <c r="C2" s="2" t="inlineStr">
        <is>
          <t>Kenteken</t>
        </is>
      </c>
      <c r="D2" s="2" t="inlineStr">
        <is>
          <t>Bestuurder</t>
        </is>
      </c>
      <c r="E2" s="2" t="inlineStr">
        <is>
          <t>Ritsoort</t>
        </is>
      </c>
      <c r="F2" s="2" t="inlineStr">
        <is>
          <t>Vertrekplaats</t>
        </is>
      </c>
      <c r="G2" s="2" t="inlineStr">
        <is>
          <t>Bestemming</t>
        </is>
      </c>
      <c r="H2" s="2" t="inlineStr">
        <is>
          <t>Beginstand km</t>
        </is>
      </c>
      <c r="I2" s="2" t="inlineStr">
        <is>
          <t>Eindstand km</t>
        </is>
      </c>
      <c r="J2" s="2" t="inlineStr">
        <is>
          <t>Afstand km</t>
        </is>
      </c>
      <c r="K2" s="2" t="inlineStr">
        <is>
          <t>Brandstof liters</t>
        </is>
      </c>
      <c r="L2" s="2" t="inlineStr">
        <is>
          <t>Brandstofkosten</t>
        </is>
      </c>
      <c r="M2" s="2" t="inlineStr">
        <is>
          <t>Tol/parkeren</t>
        </is>
      </c>
      <c r="N2" s="2" t="inlineStr">
        <is>
          <t>Onderhoudskosten</t>
        </is>
      </c>
      <c r="O2" s="2" t="inlineStr">
        <is>
          <t>Totale ritkosten</t>
        </is>
      </c>
      <c r="P2" s="2" t="inlineStr">
        <is>
          <t>Verbruik per 100 km</t>
        </is>
      </c>
    </row>
    <row r="3">
      <c r="A3" s="4" t="inlineStr">
        <is>
          <t>18-01-2026</t>
        </is>
      </c>
      <c r="B3" s="3" t="inlineStr">
        <is>
          <t>VZ-001</t>
        </is>
      </c>
      <c r="C3" s="3">
        <f>IFERROR(VLOOKUP(B3,Voertuigen!$A$3:$B$12,2,FALSE),"")</f>
        <v/>
      </c>
      <c r="D3" s="3" t="inlineStr">
        <is>
          <t>Sanne de Vries</t>
        </is>
      </c>
      <c r="E3" s="3" t="inlineStr">
        <is>
          <t>Zakelijk</t>
        </is>
      </c>
      <c r="F3" s="3" t="inlineStr">
        <is>
          <t>Amsterdam</t>
        </is>
      </c>
      <c r="G3" s="3" t="inlineStr">
        <is>
          <t>Rotterdam</t>
        </is>
      </c>
      <c r="H3" s="3" t="n">
        <v>18500</v>
      </c>
      <c r="I3" s="3" t="n">
        <v>18682</v>
      </c>
      <c r="J3" s="6">
        <f>I3-H3</f>
        <v/>
      </c>
      <c r="K3" s="3" t="n">
        <v>42.3</v>
      </c>
      <c r="L3" s="5" t="n">
        <v>68.5</v>
      </c>
      <c r="M3" s="5" t="n">
        <v>8.199999999999999</v>
      </c>
      <c r="N3" s="5" t="n">
        <v>0</v>
      </c>
      <c r="O3" s="5">
        <f>SUM(L3,M3,N3)</f>
        <v/>
      </c>
      <c r="P3" s="13">
        <f>IF(J3=0,0,(K3/J3)*100)</f>
        <v/>
      </c>
    </row>
    <row r="4">
      <c r="A4" s="8" t="inlineStr">
        <is>
          <t>25-01-2026</t>
        </is>
      </c>
      <c r="B4" s="7" t="inlineStr">
        <is>
          <t>VZ-002</t>
        </is>
      </c>
      <c r="C4" s="7">
        <f>IFERROR(VLOOKUP(B4,Voertuigen!$A$3:$B$12,2,FALSE),"")</f>
        <v/>
      </c>
      <c r="D4" s="7" t="inlineStr">
        <is>
          <t>Daan Bakker</t>
        </is>
      </c>
      <c r="E4" s="7" t="inlineStr">
        <is>
          <t>Zakelijk</t>
        </is>
      </c>
      <c r="F4" s="7" t="inlineStr">
        <is>
          <t>Utrecht</t>
        </is>
      </c>
      <c r="G4" s="7" t="inlineStr">
        <is>
          <t>Eindhoven</t>
        </is>
      </c>
      <c r="H4" s="7" t="n">
        <v>12300</v>
      </c>
      <c r="I4" s="7" t="n">
        <v>12520</v>
      </c>
      <c r="J4" s="10">
        <f>I4-H4</f>
        <v/>
      </c>
      <c r="K4" s="7" t="n">
        <v>15.8</v>
      </c>
      <c r="L4" s="9" t="n">
        <v>32.4</v>
      </c>
      <c r="M4" s="9" t="n">
        <v>5.6</v>
      </c>
      <c r="N4" s="9" t="n">
        <v>0</v>
      </c>
      <c r="O4" s="9">
        <f>SUM(L4,M4,N4)</f>
        <v/>
      </c>
      <c r="P4" s="14">
        <f>IF(J4=0,0,(K4/J4)*100)</f>
        <v/>
      </c>
    </row>
    <row r="5">
      <c r="A5" s="4" t="inlineStr">
        <is>
          <t>03-02-2026</t>
        </is>
      </c>
      <c r="B5" s="3" t="inlineStr">
        <is>
          <t>VZ-003</t>
        </is>
      </c>
      <c r="C5" s="3">
        <f>IFERROR(VLOOKUP(B5,Voertuigen!$A$3:$B$12,2,FALSE),"")</f>
        <v/>
      </c>
      <c r="D5" s="3" t="inlineStr">
        <is>
          <t>Emma Jansen</t>
        </is>
      </c>
      <c r="E5" s="3" t="inlineStr">
        <is>
          <t>Tankbeurt</t>
        </is>
      </c>
      <c r="F5" s="3" t="inlineStr">
        <is>
          <t>Den Haag</t>
        </is>
      </c>
      <c r="G5" s="3" t="inlineStr">
        <is>
          <t>Den Haag</t>
        </is>
      </c>
      <c r="H5" s="3" t="n">
        <v>34500</v>
      </c>
      <c r="I5" s="3" t="n">
        <v>34500</v>
      </c>
      <c r="J5" s="6">
        <f>I5-H5</f>
        <v/>
      </c>
      <c r="K5" s="3" t="n">
        <v>65</v>
      </c>
      <c r="L5" s="5" t="n">
        <v>105.2</v>
      </c>
      <c r="M5" s="5" t="n">
        <v>0</v>
      </c>
      <c r="N5" s="5" t="n">
        <v>0</v>
      </c>
      <c r="O5" s="5">
        <f>SUM(L5,M5,N5)</f>
        <v/>
      </c>
      <c r="P5" s="13">
        <f>IF(J5=0,0,(K5/J5)*100)</f>
        <v/>
      </c>
    </row>
    <row r="6">
      <c r="A6" s="8" t="inlineStr">
        <is>
          <t>09-02-2026</t>
        </is>
      </c>
      <c r="B6" s="7" t="inlineStr">
        <is>
          <t>VZ-004</t>
        </is>
      </c>
      <c r="C6" s="7">
        <f>IFERROR(VLOOKUP(B6,Voertuigen!$A$3:$B$12,2,FALSE),"")</f>
        <v/>
      </c>
      <c r="D6" s="7" t="inlineStr">
        <is>
          <t>Lars Visser</t>
        </is>
      </c>
      <c r="E6" s="7" t="inlineStr">
        <is>
          <t>Onderhoud</t>
        </is>
      </c>
      <c r="F6" s="7" t="inlineStr">
        <is>
          <t>Groningen</t>
        </is>
      </c>
      <c r="G6" s="7" t="inlineStr">
        <is>
          <t>Groningen</t>
        </is>
      </c>
      <c r="H6" s="7" t="n">
        <v>9800</v>
      </c>
      <c r="I6" s="7" t="n">
        <v>9800</v>
      </c>
      <c r="J6" s="10">
        <f>I6-H6</f>
        <v/>
      </c>
      <c r="K6" s="7" t="n">
        <v>0</v>
      </c>
      <c r="L6" s="9" t="n">
        <v>0</v>
      </c>
      <c r="M6" s="9" t="n">
        <v>0</v>
      </c>
      <c r="N6" s="9" t="n">
        <v>320</v>
      </c>
      <c r="O6" s="9">
        <f>SUM(L6,M6,N6)</f>
        <v/>
      </c>
      <c r="P6" s="14">
        <f>IF(J6=0,0,(K6/J6)*100)</f>
        <v/>
      </c>
    </row>
    <row r="7">
      <c r="A7" s="4" t="inlineStr">
        <is>
          <t>16-02-2026</t>
        </is>
      </c>
      <c r="B7" s="3" t="inlineStr">
        <is>
          <t>VZ-005</t>
        </is>
      </c>
      <c r="C7" s="3">
        <f>IFERROR(VLOOKUP(B7,Voertuigen!$A$3:$B$12,2,FALSE),"")</f>
        <v/>
      </c>
      <c r="D7" s="3" t="inlineStr">
        <is>
          <t>Sophie Smit</t>
        </is>
      </c>
      <c r="E7" s="3" t="inlineStr">
        <is>
          <t>Zakelijk</t>
        </is>
      </c>
      <c r="F7" s="3" t="inlineStr">
        <is>
          <t>Breda</t>
        </is>
      </c>
      <c r="G7" s="3" t="inlineStr">
        <is>
          <t>Haarlem</t>
        </is>
      </c>
      <c r="H7" s="3" t="n">
        <v>21200</v>
      </c>
      <c r="I7" s="3" t="n">
        <v>21480</v>
      </c>
      <c r="J7" s="6">
        <f>I7-H7</f>
        <v/>
      </c>
      <c r="K7" s="3" t="n">
        <v>22.4</v>
      </c>
      <c r="L7" s="5" t="n">
        <v>41.8</v>
      </c>
      <c r="M7" s="5" t="n">
        <v>12.5</v>
      </c>
      <c r="N7" s="5" t="n">
        <v>0</v>
      </c>
      <c r="O7" s="5">
        <f>SUM(L7,M7,N7)</f>
        <v/>
      </c>
      <c r="P7" s="13">
        <f>IF(J7=0,0,(K7/J7)*100)</f>
        <v/>
      </c>
    </row>
    <row r="8">
      <c r="A8" s="8" t="inlineStr">
        <is>
          <t>24-02-2026</t>
        </is>
      </c>
      <c r="B8" s="7" t="inlineStr">
        <is>
          <t>VZ-006</t>
        </is>
      </c>
      <c r="C8" s="7">
        <f>IFERROR(VLOOKUP(B8,Voertuigen!$A$3:$B$12,2,FALSE),"")</f>
        <v/>
      </c>
      <c r="D8" s="7" t="inlineStr">
        <is>
          <t>Bram Mulder</t>
        </is>
      </c>
      <c r="E8" s="7" t="inlineStr">
        <is>
          <t>Zakelijk</t>
        </is>
      </c>
      <c r="F8" s="7" t="inlineStr">
        <is>
          <t>Nijmegen</t>
        </is>
      </c>
      <c r="G8" s="7" t="inlineStr">
        <is>
          <t>Amsterdam</t>
        </is>
      </c>
      <c r="H8" s="7" t="n">
        <v>27600</v>
      </c>
      <c r="I8" s="7" t="n">
        <v>27860</v>
      </c>
      <c r="J8" s="10">
        <f>I8-H8</f>
        <v/>
      </c>
      <c r="K8" s="7" t="n">
        <v>21</v>
      </c>
      <c r="L8" s="9" t="n">
        <v>39.6</v>
      </c>
      <c r="M8" s="9" t="n">
        <v>9.800000000000001</v>
      </c>
      <c r="N8" s="9" t="n">
        <v>0</v>
      </c>
      <c r="O8" s="9">
        <f>SUM(L8,M8,N8)</f>
        <v/>
      </c>
      <c r="P8" s="14">
        <f>IF(J8=0,0,(K8/J8)*100)</f>
        <v/>
      </c>
    </row>
    <row r="9">
      <c r="A9" s="4" t="inlineStr">
        <is>
          <t>03-03-2026</t>
        </is>
      </c>
      <c r="B9" s="3" t="inlineStr">
        <is>
          <t>VZ-007</t>
        </is>
      </c>
      <c r="C9" s="3">
        <f>IFERROR(VLOOKUP(B9,Voertuigen!$A$3:$B$12,2,FALSE),"")</f>
        <v/>
      </c>
      <c r="D9" s="3" t="inlineStr">
        <is>
          <t>Julia de Boer</t>
        </is>
      </c>
      <c r="E9" s="3" t="inlineStr">
        <is>
          <t>Zakelijk</t>
        </is>
      </c>
      <c r="F9" s="3" t="inlineStr">
        <is>
          <t>Rotterdam</t>
        </is>
      </c>
      <c r="G9" s="3" t="inlineStr">
        <is>
          <t>Utrecht</t>
        </is>
      </c>
      <c r="H9" s="3" t="n">
        <v>6400</v>
      </c>
      <c r="I9" s="3" t="n">
        <v>6560</v>
      </c>
      <c r="J9" s="6">
        <f>I9-H9</f>
        <v/>
      </c>
      <c r="K9" s="3" t="n">
        <v>0</v>
      </c>
      <c r="L9" s="5" t="n">
        <v>0</v>
      </c>
      <c r="M9" s="5" t="n">
        <v>0</v>
      </c>
      <c r="N9" s="5" t="n">
        <v>0</v>
      </c>
      <c r="O9" s="5">
        <f>SUM(L9,M9,N9)</f>
        <v/>
      </c>
      <c r="P9" s="13">
        <f>IF(J9=0,0,(K9/J9)*100)</f>
        <v/>
      </c>
    </row>
    <row r="10">
      <c r="A10" s="8" t="inlineStr">
        <is>
          <t>11-03-2026</t>
        </is>
      </c>
      <c r="B10" s="7" t="inlineStr">
        <is>
          <t>VZ-008</t>
        </is>
      </c>
      <c r="C10" s="7">
        <f>IFERROR(VLOOKUP(B10,Voertuigen!$A$3:$B$12,2,FALSE),"")</f>
        <v/>
      </c>
      <c r="D10" s="7" t="inlineStr">
        <is>
          <t>Thijs Willems</t>
        </is>
      </c>
      <c r="E10" s="7" t="inlineStr">
        <is>
          <t>Tankbeurt</t>
        </is>
      </c>
      <c r="F10" s="7" t="inlineStr">
        <is>
          <t>Eindhoven</t>
        </is>
      </c>
      <c r="G10" s="7" t="inlineStr">
        <is>
          <t>Eindhoven</t>
        </is>
      </c>
      <c r="H10" s="7" t="n">
        <v>31000</v>
      </c>
      <c r="I10" s="7" t="n">
        <v>31000</v>
      </c>
      <c r="J10" s="10">
        <f>I10-H10</f>
        <v/>
      </c>
      <c r="K10" s="7" t="n">
        <v>58.5</v>
      </c>
      <c r="L10" s="9" t="n">
        <v>98.3</v>
      </c>
      <c r="M10" s="9" t="n">
        <v>0</v>
      </c>
      <c r="N10" s="9" t="n">
        <v>0</v>
      </c>
      <c r="O10" s="9">
        <f>SUM(L10,M10,N10)</f>
        <v/>
      </c>
      <c r="P10" s="14">
        <f>IF(J10=0,0,(K10/J10)*100)</f>
        <v/>
      </c>
    </row>
    <row r="11">
      <c r="A11" s="4" t="inlineStr">
        <is>
          <t>18-03-2026</t>
        </is>
      </c>
      <c r="B11" s="3" t="inlineStr">
        <is>
          <t>VZ-009</t>
        </is>
      </c>
      <c r="C11" s="3">
        <f>IFERROR(VLOOKUP(B11,Voertuigen!$A$3:$B$12,2,FALSE),"")</f>
        <v/>
      </c>
      <c r="D11" s="3" t="inlineStr">
        <is>
          <t>Lieke Peters</t>
        </is>
      </c>
      <c r="E11" s="3" t="inlineStr">
        <is>
          <t>Onderhoud</t>
        </is>
      </c>
      <c r="F11" s="3" t="inlineStr">
        <is>
          <t>Den Haag</t>
        </is>
      </c>
      <c r="G11" s="3" t="inlineStr">
        <is>
          <t>Den Haag</t>
        </is>
      </c>
      <c r="H11" s="3" t="n">
        <v>15800</v>
      </c>
      <c r="I11" s="3" t="n">
        <v>15800</v>
      </c>
      <c r="J11" s="6">
        <f>I11-H11</f>
        <v/>
      </c>
      <c r="K11" s="3" t="n">
        <v>0</v>
      </c>
      <c r="L11" s="5" t="n">
        <v>0</v>
      </c>
      <c r="M11" s="5" t="n">
        <v>0</v>
      </c>
      <c r="N11" s="5" t="n">
        <v>210</v>
      </c>
      <c r="O11" s="5">
        <f>SUM(L11,M11,N11)</f>
        <v/>
      </c>
      <c r="P11" s="13">
        <f>IF(J11=0,0,(K11/J11)*100)</f>
        <v/>
      </c>
    </row>
    <row r="12">
      <c r="A12" s="8" t="inlineStr">
        <is>
          <t>27-03-2026</t>
        </is>
      </c>
      <c r="B12" s="7" t="inlineStr">
        <is>
          <t>VZ-010</t>
        </is>
      </c>
      <c r="C12" s="7">
        <f>IFERROR(VLOOKUP(B12,Voertuigen!$A$3:$B$12,2,FALSE),"")</f>
        <v/>
      </c>
      <c r="D12" s="7" t="inlineStr">
        <is>
          <t>Ruben Hendriks</t>
        </is>
      </c>
      <c r="E12" s="7" t="inlineStr">
        <is>
          <t>Zakelijk</t>
        </is>
      </c>
      <c r="F12" s="7" t="inlineStr">
        <is>
          <t>Haarlem</t>
        </is>
      </c>
      <c r="G12" s="7" t="inlineStr">
        <is>
          <t>Amsterdam</t>
        </is>
      </c>
      <c r="H12" s="7" t="n">
        <v>8900</v>
      </c>
      <c r="I12" s="7" t="n">
        <v>9080</v>
      </c>
      <c r="J12" s="10">
        <f>I12-H12</f>
        <v/>
      </c>
      <c r="K12" s="7" t="n">
        <v>14.6</v>
      </c>
      <c r="L12" s="9" t="n">
        <v>27.9</v>
      </c>
      <c r="M12" s="9" t="n">
        <v>6.4</v>
      </c>
      <c r="N12" s="9" t="n">
        <v>0</v>
      </c>
      <c r="O12" s="9">
        <f>SUM(L12,M12,N12)</f>
        <v/>
      </c>
      <c r="P12" s="14">
        <f>IF(J12=0,0,(K12/J12)*100)</f>
        <v/>
      </c>
    </row>
    <row r="13">
      <c r="A13" s="11" t="inlineStr">
        <is>
          <t>TOTAAL</t>
        </is>
      </c>
      <c r="B13" s="11" t="n"/>
      <c r="C13" s="11" t="n"/>
      <c r="D13" s="11" t="n"/>
      <c r="E13" s="11" t="n"/>
      <c r="F13" s="11" t="n"/>
      <c r="G13" s="11" t="n"/>
      <c r="H13" s="11" t="n"/>
      <c r="I13" s="11" t="n"/>
      <c r="J13" s="15">
        <f>SUM(J3:J12)</f>
        <v/>
      </c>
      <c r="K13" s="16">
        <f>SUM(K3:K12)</f>
        <v/>
      </c>
      <c r="L13" s="12">
        <f>SUM(L3:L12)</f>
        <v/>
      </c>
      <c r="M13" s="12">
        <f>SUM(M3:M12)</f>
        <v/>
      </c>
      <c r="N13" s="12">
        <f>SUM(N3:N12)</f>
        <v/>
      </c>
      <c r="O13" s="12">
        <f>SUM(O3:O12)</f>
        <v/>
      </c>
      <c r="P13" s="11" t="n"/>
    </row>
    <row r="14"/>
    <row r="15">
      <c r="A15" s="17" t="inlineStr">
        <is>
          <t>Gemiddelde kosten per km</t>
        </is>
      </c>
      <c r="C15" s="18">
        <f>IF(COUNTIF(J3:J12,"&gt;0")=0,0,SUM(O3:O12)/SUM(J3:J12))</f>
        <v/>
      </c>
    </row>
  </sheetData>
  <autoFilter ref="A2:P12"/>
  <mergeCells count="1">
    <mergeCell ref="A1:P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26"/>
  <sheetViews>
    <sheetView workbookViewId="0">
      <pane ySplit="2" topLeftCell="A3" activePane="bottomLeft" state="frozen"/>
      <selection pane="bottomLeft" activeCell="A1" sqref="A1"/>
    </sheetView>
  </sheetViews>
  <sheetFormatPr baseColWidth="8" defaultRowHeight="15"/>
  <cols>
    <col width="12" customWidth="1" min="1" max="1"/>
    <col width="11" customWidth="1" min="2" max="2"/>
    <col width="16" customWidth="1" min="3" max="3"/>
    <col width="14" customWidth="1" min="4" max="4"/>
    <col width="20" customWidth="1" min="5" max="5"/>
    <col width="13" customWidth="1" min="6" max="6"/>
    <col width="14" customWidth="1" min="7" max="7"/>
    <col width="12" customWidth="1" min="8" max="8"/>
    <col width="26" customWidth="1" min="9" max="9"/>
    <col width="20" customWidth="1" min="10" max="10"/>
    <col width="12" customWidth="1" min="11" max="11"/>
    <col width="12" customWidth="1" min="12" max="12"/>
    <col width="11" customWidth="1" min="13" max="13"/>
    <col width="12" customWidth="1" min="14" max="14"/>
  </cols>
  <sheetData>
    <row r="1" ht="28" customHeight="1">
      <c r="A1" s="1" t="inlineStr">
        <is>
          <t>Onderhoud &amp; Keuringen - Planning 2026</t>
        </is>
      </c>
    </row>
    <row r="2">
      <c r="A2" s="2" t="inlineStr">
        <is>
          <t>Onderdeel-ID</t>
        </is>
      </c>
      <c r="B2" s="2" t="inlineStr">
        <is>
          <t>Voertuig-ID</t>
        </is>
      </c>
      <c r="C2" s="2" t="inlineStr">
        <is>
          <t>Kenteken</t>
        </is>
      </c>
      <c r="D2" s="2" t="inlineStr">
        <is>
          <t>Type onderhoud</t>
        </is>
      </c>
      <c r="E2" s="2" t="inlineStr">
        <is>
          <t>Uitvoerder</t>
        </is>
      </c>
      <c r="F2" s="2" t="inlineStr">
        <is>
          <t>Datum gepland</t>
        </is>
      </c>
      <c r="G2" s="2" t="inlineStr">
        <is>
          <t>Datum uitgevoerd</t>
        </is>
      </c>
      <c r="H2" s="2" t="inlineStr">
        <is>
          <t>Kosten</t>
        </is>
      </c>
      <c r="I2" s="2" t="inlineStr">
        <is>
          <t>Omschrijving</t>
        </is>
      </c>
      <c r="J2" s="2" t="inlineStr">
        <is>
          <t>Volgende onderhoudsdatum</t>
        </is>
      </c>
      <c r="K2" s="2" t="inlineStr">
        <is>
          <t>APK-datum</t>
        </is>
      </c>
      <c r="L2" s="2" t="inlineStr">
        <is>
          <t>Dagen tot APK</t>
        </is>
      </c>
      <c r="M2" s="2" t="inlineStr">
        <is>
          <t>Status</t>
        </is>
      </c>
      <c r="N2" s="2" t="inlineStr">
        <is>
          <t>Waarschuwing</t>
        </is>
      </c>
    </row>
    <row r="3">
      <c r="A3" s="3" t="inlineStr">
        <is>
          <t>OH-001</t>
        </is>
      </c>
      <c r="B3" s="3" t="inlineStr">
        <is>
          <t>VZ-001</t>
        </is>
      </c>
      <c r="C3" s="3">
        <f>IFERROR(VLOOKUP(B3,Voertuigen!$A$3:$B$12,2,FALSE),"")</f>
        <v/>
      </c>
      <c r="D3" s="3" t="inlineStr">
        <is>
          <t>Grote beurt</t>
        </is>
      </c>
      <c r="E3" s="3" t="inlineStr">
        <is>
          <t>Garage Van Dijk</t>
        </is>
      </c>
      <c r="F3" s="4" t="inlineStr">
        <is>
          <t>10-01-2026</t>
        </is>
      </c>
      <c r="G3" s="4" t="inlineStr">
        <is>
          <t>10-01-2026</t>
        </is>
      </c>
      <c r="H3" s="5" t="n">
        <v>420</v>
      </c>
      <c r="I3" s="3" t="inlineStr">
        <is>
          <t>Grote beurt uitgevoerd</t>
        </is>
      </c>
      <c r="J3" s="4" t="inlineStr">
        <is>
          <t>10-01-2027</t>
        </is>
      </c>
      <c r="K3" s="4" t="inlineStr">
        <is>
          <t>10-03-2027</t>
        </is>
      </c>
      <c r="L3" s="3">
        <f>K3-TODAY()</f>
        <v/>
      </c>
      <c r="M3" s="3">
        <f>IF(G3="","Gepland",IF(G3&lt;=F3,"Op tijd","Te laat"))</f>
        <v/>
      </c>
      <c r="N3" s="3">
        <f>IF(L3&lt;30,"Actie nodig","OK")</f>
        <v/>
      </c>
    </row>
    <row r="4">
      <c r="A4" s="7" t="inlineStr">
        <is>
          <t>OH-002</t>
        </is>
      </c>
      <c r="B4" s="7" t="inlineStr">
        <is>
          <t>VZ-002</t>
        </is>
      </c>
      <c r="C4" s="7">
        <f>IFERROR(VLOOKUP(B4,Voertuigen!$A$3:$B$12,2,FALSE),"")</f>
        <v/>
      </c>
      <c r="D4" s="7" t="inlineStr">
        <is>
          <t>Bandenwissel</t>
        </is>
      </c>
      <c r="E4" s="7" t="inlineStr">
        <is>
          <t>Bandencentrale Utrecht</t>
        </is>
      </c>
      <c r="F4" s="8" t="inlineStr">
        <is>
          <t>05-02-2026</t>
        </is>
      </c>
      <c r="G4" s="8" t="inlineStr">
        <is>
          <t>05-02-2026</t>
        </is>
      </c>
      <c r="H4" s="9" t="n">
        <v>280</v>
      </c>
      <c r="I4" s="7" t="inlineStr">
        <is>
          <t>Winterbanden gewisseld</t>
        </is>
      </c>
      <c r="J4" s="8" t="inlineStr">
        <is>
          <t>05-10-2026</t>
        </is>
      </c>
      <c r="K4" s="8" t="inlineStr">
        <is>
          <t>18-07-2026</t>
        </is>
      </c>
      <c r="L4" s="7">
        <f>K4-TODAY()</f>
        <v/>
      </c>
      <c r="M4" s="7">
        <f>IF(G4="","Gepland",IF(G4&lt;=F4,"Op tijd","Te laat"))</f>
        <v/>
      </c>
      <c r="N4" s="7">
        <f>IF(L4&lt;30,"Actie nodig","OK")</f>
        <v/>
      </c>
    </row>
    <row r="5">
      <c r="A5" s="3" t="inlineStr">
        <is>
          <t>OH-003</t>
        </is>
      </c>
      <c r="B5" s="3" t="inlineStr">
        <is>
          <t>VZ-003</t>
        </is>
      </c>
      <c r="C5" s="3">
        <f>IFERROR(VLOOKUP(B5,Voertuigen!$A$3:$B$12,2,FALSE),"")</f>
        <v/>
      </c>
      <c r="D5" s="3" t="inlineStr">
        <is>
          <t>APK</t>
        </is>
      </c>
      <c r="E5" s="3" t="inlineStr">
        <is>
          <t>Garage Bakker</t>
        </is>
      </c>
      <c r="F5" s="4" t="inlineStr">
        <is>
          <t>20-02-2026</t>
        </is>
      </c>
      <c r="G5" s="4" t="inlineStr"/>
      <c r="H5" s="5" t="n">
        <v>65</v>
      </c>
      <c r="I5" s="3" t="inlineStr">
        <is>
          <t>APK-keuring ingepland</t>
        </is>
      </c>
      <c r="J5" s="4" t="inlineStr">
        <is>
          <t>20-02-2027</t>
        </is>
      </c>
      <c r="K5" s="4" t="inlineStr">
        <is>
          <t>02-08-2026</t>
        </is>
      </c>
      <c r="L5" s="3">
        <f>K5-TODAY()</f>
        <v/>
      </c>
      <c r="M5" s="3">
        <f>IF(G5="","Gepland",IF(G5&lt;=F5,"Op tijd","Te laat"))</f>
        <v/>
      </c>
      <c r="N5" s="3">
        <f>IF(L5&lt;30,"Actie nodig","OK")</f>
        <v/>
      </c>
    </row>
    <row r="6">
      <c r="A6" s="7" t="inlineStr">
        <is>
          <t>OH-004</t>
        </is>
      </c>
      <c r="B6" s="7" t="inlineStr">
        <is>
          <t>VZ-004</t>
        </is>
      </c>
      <c r="C6" s="7">
        <f>IFERROR(VLOOKUP(B6,Voertuigen!$A$3:$B$12,2,FALSE),"")</f>
        <v/>
      </c>
      <c r="D6" s="7" t="inlineStr">
        <is>
          <t>Kleine beurt</t>
        </is>
      </c>
      <c r="E6" s="7" t="inlineStr">
        <is>
          <t>Volvo Service Groningen</t>
        </is>
      </c>
      <c r="F6" s="8" t="inlineStr">
        <is>
          <t>01-03-2026</t>
        </is>
      </c>
      <c r="G6" s="8" t="inlineStr">
        <is>
          <t>28-02-2026</t>
        </is>
      </c>
      <c r="H6" s="9" t="n">
        <v>190</v>
      </c>
      <c r="I6" s="7" t="inlineStr">
        <is>
          <t>Olie en filters vervangen</t>
        </is>
      </c>
      <c r="J6" s="8" t="inlineStr">
        <is>
          <t>01-09-2026</t>
        </is>
      </c>
      <c r="K6" s="8" t="inlineStr">
        <is>
          <t>25-12-2026</t>
        </is>
      </c>
      <c r="L6" s="7">
        <f>K6-TODAY()</f>
        <v/>
      </c>
      <c r="M6" s="7">
        <f>IF(G6="","Gepland",IF(G6&lt;=F6,"Op tijd","Te laat"))</f>
        <v/>
      </c>
      <c r="N6" s="7">
        <f>IF(L6&lt;30,"Actie nodig","OK")</f>
        <v/>
      </c>
    </row>
    <row r="7">
      <c r="A7" s="3" t="inlineStr">
        <is>
          <t>OH-005</t>
        </is>
      </c>
      <c r="B7" s="3" t="inlineStr">
        <is>
          <t>VZ-005</t>
        </is>
      </c>
      <c r="C7" s="3">
        <f>IFERROR(VLOOKUP(B7,Voertuigen!$A$3:$B$12,2,FALSE),"")</f>
        <v/>
      </c>
      <c r="D7" s="3" t="inlineStr">
        <is>
          <t>Remmen</t>
        </is>
      </c>
      <c r="E7" s="3" t="inlineStr">
        <is>
          <t>Garage Peugeot Breda</t>
        </is>
      </c>
      <c r="F7" s="4" t="inlineStr">
        <is>
          <t>12-03-2026</t>
        </is>
      </c>
      <c r="G7" s="4" t="inlineStr">
        <is>
          <t>15-03-2026</t>
        </is>
      </c>
      <c r="H7" s="5" t="n">
        <v>340</v>
      </c>
      <c r="I7" s="3" t="inlineStr">
        <is>
          <t>Remblokken en schijven vervangen</t>
        </is>
      </c>
      <c r="J7" s="4" t="inlineStr">
        <is>
          <t>12-09-2026</t>
        </is>
      </c>
      <c r="K7" s="4" t="inlineStr">
        <is>
          <t>14-09-2026</t>
        </is>
      </c>
      <c r="L7" s="3">
        <f>K7-TODAY()</f>
        <v/>
      </c>
      <c r="M7" s="3">
        <f>IF(G7="","Gepland",IF(G7&lt;=F7,"Op tijd","Te laat"))</f>
        <v/>
      </c>
      <c r="N7" s="3">
        <f>IF(L7&lt;30,"Actie nodig","OK")</f>
        <v/>
      </c>
    </row>
    <row r="8">
      <c r="A8" s="7" t="inlineStr">
        <is>
          <t>OH-006</t>
        </is>
      </c>
      <c r="B8" s="7" t="inlineStr">
        <is>
          <t>VZ-006</t>
        </is>
      </c>
      <c r="C8" s="7">
        <f>IFERROR(VLOOKUP(B8,Voertuigen!$A$3:$B$12,2,FALSE),"")</f>
        <v/>
      </c>
      <c r="D8" s="7" t="inlineStr">
        <is>
          <t>Airco-service</t>
        </is>
      </c>
      <c r="E8" s="7" t="inlineStr">
        <is>
          <t>AutoCool Nijmegen</t>
        </is>
      </c>
      <c r="F8" s="8" t="inlineStr">
        <is>
          <t>18-03-2026</t>
        </is>
      </c>
      <c r="G8" s="8" t="inlineStr">
        <is>
          <t>18-03-2026</t>
        </is>
      </c>
      <c r="H8" s="9" t="n">
        <v>95</v>
      </c>
      <c r="I8" s="7" t="inlineStr">
        <is>
          <t>Airco bijgevuld en gereinigd</t>
        </is>
      </c>
      <c r="J8" s="8" t="inlineStr">
        <is>
          <t>18-03-2027</t>
        </is>
      </c>
      <c r="K8" s="8" t="inlineStr">
        <is>
          <t>30-07-2026</t>
        </is>
      </c>
      <c r="L8" s="7">
        <f>K8-TODAY()</f>
        <v/>
      </c>
      <c r="M8" s="7">
        <f>IF(G8="","Gepland",IF(G8&lt;=F8,"Op tijd","Te laat"))</f>
        <v/>
      </c>
      <c r="N8" s="7">
        <f>IF(L8&lt;30,"Actie nodig","OK")</f>
        <v/>
      </c>
    </row>
    <row r="9">
      <c r="A9" s="3" t="inlineStr">
        <is>
          <t>OH-007</t>
        </is>
      </c>
      <c r="B9" s="3" t="inlineStr">
        <is>
          <t>VZ-007</t>
        </is>
      </c>
      <c r="C9" s="3">
        <f>IFERROR(VLOOKUP(B9,Voertuigen!$A$3:$B$12,2,FALSE),"")</f>
        <v/>
      </c>
      <c r="D9" s="3" t="inlineStr">
        <is>
          <t>Grote beurt</t>
        </is>
      </c>
      <c r="E9" s="3" t="inlineStr">
        <is>
          <t>Tesla Service Amsterdam</t>
        </is>
      </c>
      <c r="F9" s="4" t="inlineStr">
        <is>
          <t>22-03-2026</t>
        </is>
      </c>
      <c r="G9" s="4" t="inlineStr"/>
      <c r="H9" s="5" t="n">
        <v>350</v>
      </c>
      <c r="I9" s="3" t="inlineStr">
        <is>
          <t>Software-update en inspectie</t>
        </is>
      </c>
      <c r="J9" s="4" t="inlineStr">
        <is>
          <t>22-03-2027</t>
        </is>
      </c>
      <c r="K9" s="4" t="inlineStr">
        <is>
          <t>20-01-2027</t>
        </is>
      </c>
      <c r="L9" s="3">
        <f>K9-TODAY()</f>
        <v/>
      </c>
      <c r="M9" s="3">
        <f>IF(G9="","Gepland",IF(G9&lt;=F9,"Op tijd","Te laat"))</f>
        <v/>
      </c>
      <c r="N9" s="3">
        <f>IF(L9&lt;30,"Actie nodig","OK")</f>
        <v/>
      </c>
    </row>
    <row r="10">
      <c r="A10" s="7" t="inlineStr">
        <is>
          <t>OH-008</t>
        </is>
      </c>
      <c r="B10" s="7" t="inlineStr">
        <is>
          <t>VZ-008</t>
        </is>
      </c>
      <c r="C10" s="7">
        <f>IFERROR(VLOOKUP(B10,Voertuigen!$A$3:$B$12,2,FALSE),"")</f>
        <v/>
      </c>
      <c r="D10" s="7" t="inlineStr">
        <is>
          <t>APK</t>
        </is>
      </c>
      <c r="E10" s="7" t="inlineStr">
        <is>
          <t>Garage Skoda Eindhoven</t>
        </is>
      </c>
      <c r="F10" s="8" t="inlineStr">
        <is>
          <t>28-03-2026</t>
        </is>
      </c>
      <c r="G10" s="8" t="inlineStr">
        <is>
          <t>26-03-2026</t>
        </is>
      </c>
      <c r="H10" s="9" t="n">
        <v>65</v>
      </c>
      <c r="I10" s="7" t="inlineStr">
        <is>
          <t>APK goedgekeurd</t>
        </is>
      </c>
      <c r="J10" s="8" t="inlineStr">
        <is>
          <t>28-03-2027</t>
        </is>
      </c>
      <c r="K10" s="8" t="inlineStr">
        <is>
          <t>05-08-2026</t>
        </is>
      </c>
      <c r="L10" s="7">
        <f>K10-TODAY()</f>
        <v/>
      </c>
      <c r="M10" s="7">
        <f>IF(G10="","Gepland",IF(G10&lt;=F10,"Op tijd","Te laat"))</f>
        <v/>
      </c>
      <c r="N10" s="7">
        <f>IF(L10&lt;30,"Actie nodig","OK")</f>
        <v/>
      </c>
    </row>
    <row r="11">
      <c r="A11" s="3" t="inlineStr">
        <is>
          <t>OH-009</t>
        </is>
      </c>
      <c r="B11" s="3" t="inlineStr">
        <is>
          <t>VZ-009</t>
        </is>
      </c>
      <c r="C11" s="3">
        <f>IFERROR(VLOOKUP(B11,Voertuigen!$A$3:$B$12,2,FALSE),"")</f>
        <v/>
      </c>
      <c r="D11" s="3" t="inlineStr">
        <is>
          <t>Bandenwissel</t>
        </is>
      </c>
      <c r="E11" s="3" t="inlineStr">
        <is>
          <t>Bandencentrale Den Haag</t>
        </is>
      </c>
      <c r="F11" s="4" t="inlineStr">
        <is>
          <t>02-04-2026</t>
        </is>
      </c>
      <c r="G11" s="4" t="inlineStr"/>
      <c r="H11" s="5" t="n">
        <v>260</v>
      </c>
      <c r="I11" s="3" t="inlineStr">
        <is>
          <t>Bandenwissel ingepland</t>
        </is>
      </c>
      <c r="J11" s="4" t="inlineStr">
        <is>
          <t>02-12-2026</t>
        </is>
      </c>
      <c r="K11" s="4" t="inlineStr">
        <is>
          <t>12-10-2026</t>
        </is>
      </c>
      <c r="L11" s="3">
        <f>K11-TODAY()</f>
        <v/>
      </c>
      <c r="M11" s="3">
        <f>IF(G11="","Gepland",IF(G11&lt;=F11,"Op tijd","Te laat"))</f>
        <v/>
      </c>
      <c r="N11" s="3">
        <f>IF(L11&lt;30,"Actie nodig","OK")</f>
        <v/>
      </c>
    </row>
    <row r="12">
      <c r="A12" s="7" t="inlineStr">
        <is>
          <t>OH-010</t>
        </is>
      </c>
      <c r="B12" s="7" t="inlineStr">
        <is>
          <t>VZ-010</t>
        </is>
      </c>
      <c r="C12" s="7">
        <f>IFERROR(VLOOKUP(B12,Voertuigen!$A$3:$B$12,2,FALSE),"")</f>
        <v/>
      </c>
      <c r="D12" s="7" t="inlineStr">
        <is>
          <t>Kleine beurt</t>
        </is>
      </c>
      <c r="E12" s="7" t="inlineStr">
        <is>
          <t>Kia Service Haarlem</t>
        </is>
      </c>
      <c r="F12" s="8" t="inlineStr">
        <is>
          <t>08-04-2026</t>
        </is>
      </c>
      <c r="G12" s="8" t="inlineStr">
        <is>
          <t>08-04-2026</t>
        </is>
      </c>
      <c r="H12" s="9" t="n">
        <v>175</v>
      </c>
      <c r="I12" s="7" t="inlineStr">
        <is>
          <t>Olie en filters vervangen</t>
        </is>
      </c>
      <c r="J12" s="8" t="inlineStr">
        <is>
          <t>08-10-2026</t>
        </is>
      </c>
      <c r="K12" s="8" t="inlineStr">
        <is>
          <t>22-11-2026</t>
        </is>
      </c>
      <c r="L12" s="7">
        <f>K12-TODAY()</f>
        <v/>
      </c>
      <c r="M12" s="7">
        <f>IF(G12="","Gepland",IF(G12&lt;=F12,"Op tijd","Te laat"))</f>
        <v/>
      </c>
      <c r="N12" s="7">
        <f>IF(L12&lt;30,"Actie nodig","OK")</f>
        <v/>
      </c>
    </row>
    <row r="13">
      <c r="A13" s="11" t="inlineStr">
        <is>
          <t>TOTAAL</t>
        </is>
      </c>
      <c r="B13" s="11" t="n"/>
      <c r="C13" s="11" t="n"/>
      <c r="D13" s="11" t="n"/>
      <c r="E13" s="11" t="n"/>
      <c r="F13" s="11" t="n"/>
      <c r="G13" s="11" t="n"/>
      <c r="H13" s="12">
        <f>SUM(H3:H12)</f>
        <v/>
      </c>
      <c r="I13" s="11" t="n"/>
      <c r="J13" s="11" t="n"/>
      <c r="K13" s="11" t="n"/>
      <c r="L13" s="11" t="n"/>
      <c r="M13" s="11" t="n"/>
      <c r="N13" s="11" t="n"/>
    </row>
    <row r="14"/>
    <row r="15">
      <c r="A15" s="19" t="inlineStr">
        <is>
          <t>Totaal onderhoudskosten per voertuig</t>
        </is>
      </c>
      <c r="B15" s="19" t="n"/>
      <c r="C15" s="19" t="n"/>
    </row>
    <row r="16">
      <c r="A16" s="20" t="inlineStr">
        <is>
          <t>Voertuig-ID</t>
        </is>
      </c>
      <c r="B16" s="20" t="inlineStr">
        <is>
          <t>Kenteken</t>
        </is>
      </c>
      <c r="C16" s="20" t="inlineStr">
        <is>
          <t>Totale kosten</t>
        </is>
      </c>
    </row>
    <row r="17">
      <c r="A17" s="21">
        <f>Voertuigen!A3</f>
        <v/>
      </c>
      <c r="B17" s="21">
        <f>Voertuigen!B3</f>
        <v/>
      </c>
      <c r="C17" s="22">
        <f>SUMIF($B$3:$B$12,A17,$H$3:$H$12)</f>
        <v/>
      </c>
    </row>
    <row r="18">
      <c r="A18" s="23">
        <f>Voertuigen!A4</f>
        <v/>
      </c>
      <c r="B18" s="23">
        <f>Voertuigen!B4</f>
        <v/>
      </c>
      <c r="C18" s="24">
        <f>SUMIF($B$3:$B$12,A18,$H$3:$H$12)</f>
        <v/>
      </c>
    </row>
    <row r="19">
      <c r="A19" s="21">
        <f>Voertuigen!A5</f>
        <v/>
      </c>
      <c r="B19" s="21">
        <f>Voertuigen!B5</f>
        <v/>
      </c>
      <c r="C19" s="22">
        <f>SUMIF($B$3:$B$12,A19,$H$3:$H$12)</f>
        <v/>
      </c>
    </row>
    <row r="20">
      <c r="A20" s="23">
        <f>Voertuigen!A6</f>
        <v/>
      </c>
      <c r="B20" s="23">
        <f>Voertuigen!B6</f>
        <v/>
      </c>
      <c r="C20" s="24">
        <f>SUMIF($B$3:$B$12,A20,$H$3:$H$12)</f>
        <v/>
      </c>
    </row>
    <row r="21">
      <c r="A21" s="21">
        <f>Voertuigen!A7</f>
        <v/>
      </c>
      <c r="B21" s="21">
        <f>Voertuigen!B7</f>
        <v/>
      </c>
      <c r="C21" s="22">
        <f>SUMIF($B$3:$B$12,A21,$H$3:$H$12)</f>
        <v/>
      </c>
    </row>
    <row r="22">
      <c r="A22" s="23">
        <f>Voertuigen!A8</f>
        <v/>
      </c>
      <c r="B22" s="23">
        <f>Voertuigen!B8</f>
        <v/>
      </c>
      <c r="C22" s="24">
        <f>SUMIF($B$3:$B$12,A22,$H$3:$H$12)</f>
        <v/>
      </c>
    </row>
    <row r="23">
      <c r="A23" s="21">
        <f>Voertuigen!A9</f>
        <v/>
      </c>
      <c r="B23" s="21">
        <f>Voertuigen!B9</f>
        <v/>
      </c>
      <c r="C23" s="22">
        <f>SUMIF($B$3:$B$12,A23,$H$3:$H$12)</f>
        <v/>
      </c>
    </row>
    <row r="24">
      <c r="A24" s="23">
        <f>Voertuigen!A10</f>
        <v/>
      </c>
      <c r="B24" s="23">
        <f>Voertuigen!B10</f>
        <v/>
      </c>
      <c r="C24" s="24">
        <f>SUMIF($B$3:$B$12,A24,$H$3:$H$12)</f>
        <v/>
      </c>
    </row>
    <row r="25">
      <c r="A25" s="21">
        <f>Voertuigen!A11</f>
        <v/>
      </c>
      <c r="B25" s="21">
        <f>Voertuigen!B11</f>
        <v/>
      </c>
      <c r="C25" s="22">
        <f>SUMIF($B$3:$B$12,A25,$H$3:$H$12)</f>
        <v/>
      </c>
    </row>
    <row r="26">
      <c r="A26" s="23">
        <f>Voertuigen!A12</f>
        <v/>
      </c>
      <c r="B26" s="23">
        <f>Voertuigen!B12</f>
        <v/>
      </c>
      <c r="C26" s="24">
        <f>SUMIF($B$3:$B$12,A26,$H$3:$H$12)</f>
        <v/>
      </c>
    </row>
  </sheetData>
  <autoFilter ref="A2:N12"/>
  <mergeCells count="1">
    <mergeCell ref="A1:N1"/>
  </mergeCells>
  <conditionalFormatting sqref="N3:N12">
    <cfRule type="expression" priority="1" dxfId="0" stopIfTrue="0">
      <formula>N3="Actie nodig"</formula>
    </cfRule>
  </conditionalFormatting>
  <conditionalFormatting sqref="M3:M12">
    <cfRule type="expression" priority="2" dxfId="0" stopIfTrue="0">
      <formula>M3="Te laat"</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cols>
    <col width="30" customWidth="1" min="1" max="1"/>
    <col width="16" customWidth="1" min="2" max="2"/>
    <col width="4" customWidth="1" min="3" max="3"/>
    <col width="14" customWidth="1" min="4" max="4"/>
    <col width="18" customWidth="1" min="5" max="5"/>
    <col width="16" customWidth="1" min="6" max="6"/>
    <col width="4" customWidth="1" min="7" max="7"/>
    <col width="4" customWidth="1" min="8" max="8"/>
  </cols>
  <sheetData>
    <row r="1" ht="28" customHeight="1">
      <c r="A1" s="1" t="inlineStr">
        <is>
          <t>Wagenparkbeheer - Managementdashboard 2026</t>
        </is>
      </c>
    </row>
    <row r="2">
      <c r="A2" s="11" t="inlineStr">
        <is>
          <t>Kerncijfers</t>
        </is>
      </c>
      <c r="B2" s="11" t="n"/>
    </row>
    <row r="3">
      <c r="A3" s="25" t="inlineStr">
        <is>
          <t>Totaal aantal voertuigen</t>
        </is>
      </c>
      <c r="B3" s="26">
        <f>COUNTA(Voertuigen!A3:A12)</f>
        <v/>
      </c>
    </row>
    <row r="4">
      <c r="A4" s="25" t="inlineStr">
        <is>
          <t>Aantal in gebruik</t>
        </is>
      </c>
      <c r="B4" s="26">
        <f>COUNTIF(Voertuigen!P3:P12,"In gebruik")</f>
        <v/>
      </c>
    </row>
    <row r="5">
      <c r="A5" s="25" t="inlineStr">
        <is>
          <t>Aantal in onderhoud</t>
        </is>
      </c>
      <c r="B5" s="26">
        <f>COUNTIF(Voertuigen!P3:P12,"In onderhoud")</f>
        <v/>
      </c>
    </row>
    <row r="6">
      <c r="A6" s="25" t="inlineStr">
        <is>
          <t>Aantal verkocht</t>
        </is>
      </c>
      <c r="B6" s="26">
        <f>COUNTIF(Voertuigen!P3:P12,"Verkocht")</f>
        <v/>
      </c>
    </row>
    <row r="7">
      <c r="A7" s="25" t="inlineStr">
        <is>
          <t>Totale jaarlijkse kosten</t>
        </is>
      </c>
      <c r="B7" s="27">
        <f>SUM(Voertuigen!Q3:Q12)</f>
        <v/>
      </c>
    </row>
    <row r="8">
      <c r="A8" s="25" t="inlineStr">
        <is>
          <t>Gemiddelde kosten per voertuig</t>
        </is>
      </c>
      <c r="B8" s="27">
        <f>IFERROR(AVERAGE(Voertuigen!Q3:Q12),0)</f>
        <v/>
      </c>
    </row>
    <row r="9">
      <c r="A9" s="25" t="inlineStr">
        <is>
          <t>Totaal gereden km</t>
        </is>
      </c>
      <c r="B9" s="26">
        <f>SUM('Ritten &amp; Kosten'!J3:J12)</f>
        <v/>
      </c>
    </row>
    <row r="10">
      <c r="A10" s="25" t="inlineStr">
        <is>
          <t>Gemiddeld verbruik (L/100 km)</t>
        </is>
      </c>
      <c r="B10" s="28">
        <f>IFERROR(AVERAGE('Ritten &amp; Kosten'!P3:P12),0)</f>
        <v/>
      </c>
    </row>
    <row r="11">
      <c r="A11" s="25" t="inlineStr">
        <is>
          <t>Voertuigen met APK binnen 30 dagen</t>
        </is>
      </c>
      <c r="B11" s="26">
        <f>COUNTIF(Voertuigen!N3:N12,"&lt;"&amp;TODAY()+30)</f>
        <v/>
      </c>
    </row>
    <row r="12"/>
    <row r="13"/>
    <row r="14">
      <c r="A14" s="11" t="inlineStr">
        <is>
          <t>Voertuigstatus</t>
        </is>
      </c>
      <c r="B14" s="11" t="inlineStr">
        <is>
          <t>Aantal</t>
        </is>
      </c>
      <c r="D14" s="11" t="inlineStr">
        <is>
          <t>Kenteken</t>
        </is>
      </c>
      <c r="E14" s="11" t="inlineStr">
        <is>
          <t>Jaarlijkse kosten</t>
        </is>
      </c>
      <c r="F14" s="11" t="inlineStr">
        <is>
          <t>Brandstofkosten</t>
        </is>
      </c>
    </row>
    <row r="15">
      <c r="A15" s="21" t="inlineStr">
        <is>
          <t>In gebruik</t>
        </is>
      </c>
      <c r="B15" s="21">
        <f>COUNTIF(Voertuigen!P3:P12,"In gebruik")</f>
        <v/>
      </c>
      <c r="D15" s="21">
        <f>Voertuigen!B3</f>
        <v/>
      </c>
      <c r="E15" s="22">
        <f>Voertuigen!Q3</f>
        <v/>
      </c>
      <c r="F15" s="22">
        <f>SUMIF('Ritten &amp; Kosten'!$B$3:$B$12,Voertuigen!A3,'Ritten &amp; Kosten'!$L$3:$L$12)</f>
        <v/>
      </c>
    </row>
    <row r="16">
      <c r="A16" s="23" t="inlineStr">
        <is>
          <t>In onderhoud</t>
        </is>
      </c>
      <c r="B16" s="23">
        <f>COUNTIF(Voertuigen!P3:P12,"In onderhoud")</f>
        <v/>
      </c>
      <c r="D16" s="23">
        <f>Voertuigen!B4</f>
        <v/>
      </c>
      <c r="E16" s="24">
        <f>Voertuigen!Q4</f>
        <v/>
      </c>
      <c r="F16" s="24">
        <f>SUMIF('Ritten &amp; Kosten'!$B$3:$B$12,Voertuigen!A4,'Ritten &amp; Kosten'!$L$3:$L$12)</f>
        <v/>
      </c>
    </row>
    <row r="17">
      <c r="A17" s="21" t="inlineStr">
        <is>
          <t>Verkocht</t>
        </is>
      </c>
      <c r="B17" s="21">
        <f>COUNTIF(Voertuigen!P3:P12,"Verkocht")</f>
        <v/>
      </c>
      <c r="D17" s="21">
        <f>Voertuigen!B5</f>
        <v/>
      </c>
      <c r="E17" s="22">
        <f>Voertuigen!Q5</f>
        <v/>
      </c>
      <c r="F17" s="22">
        <f>SUMIF('Ritten &amp; Kosten'!$B$3:$B$12,Voertuigen!A5,'Ritten &amp; Kosten'!$L$3:$L$12)</f>
        <v/>
      </c>
    </row>
    <row r="18">
      <c r="D18" s="23">
        <f>Voertuigen!B6</f>
        <v/>
      </c>
      <c r="E18" s="24">
        <f>Voertuigen!Q6</f>
        <v/>
      </c>
      <c r="F18" s="24">
        <f>SUMIF('Ritten &amp; Kosten'!$B$3:$B$12,Voertuigen!A6,'Ritten &amp; Kosten'!$L$3:$L$12)</f>
        <v/>
      </c>
    </row>
    <row r="19">
      <c r="D19" s="21">
        <f>Voertuigen!B7</f>
        <v/>
      </c>
      <c r="E19" s="22">
        <f>Voertuigen!Q7</f>
        <v/>
      </c>
      <c r="F19" s="22">
        <f>SUMIF('Ritten &amp; Kosten'!$B$3:$B$12,Voertuigen!A7,'Ritten &amp; Kosten'!$L$3:$L$12)</f>
        <v/>
      </c>
    </row>
    <row r="20">
      <c r="D20" s="23">
        <f>Voertuigen!B8</f>
        <v/>
      </c>
      <c r="E20" s="24">
        <f>Voertuigen!Q8</f>
        <v/>
      </c>
      <c r="F20" s="24">
        <f>SUMIF('Ritten &amp; Kosten'!$B$3:$B$12,Voertuigen!A8,'Ritten &amp; Kosten'!$L$3:$L$12)</f>
        <v/>
      </c>
    </row>
    <row r="21">
      <c r="D21" s="21">
        <f>Voertuigen!B9</f>
        <v/>
      </c>
      <c r="E21" s="22">
        <f>Voertuigen!Q9</f>
        <v/>
      </c>
      <c r="F21" s="22">
        <f>SUMIF('Ritten &amp; Kosten'!$B$3:$B$12,Voertuigen!A9,'Ritten &amp; Kosten'!$L$3:$L$12)</f>
        <v/>
      </c>
    </row>
    <row r="22">
      <c r="D22" s="23">
        <f>Voertuigen!B10</f>
        <v/>
      </c>
      <c r="E22" s="24">
        <f>Voertuigen!Q10</f>
        <v/>
      </c>
      <c r="F22" s="24">
        <f>SUMIF('Ritten &amp; Kosten'!$B$3:$B$12,Voertuigen!A10,'Ritten &amp; Kosten'!$L$3:$L$12)</f>
        <v/>
      </c>
    </row>
    <row r="23">
      <c r="D23" s="21">
        <f>Voertuigen!B11</f>
        <v/>
      </c>
      <c r="E23" s="22">
        <f>Voertuigen!Q11</f>
        <v/>
      </c>
      <c r="F23" s="22">
        <f>SUMIF('Ritten &amp; Kosten'!$B$3:$B$12,Voertuigen!A11,'Ritten &amp; Kosten'!$L$3:$L$12)</f>
        <v/>
      </c>
    </row>
    <row r="24">
      <c r="D24" s="23">
        <f>Voertuigen!B12</f>
        <v/>
      </c>
      <c r="E24" s="24">
        <f>Voertuigen!Q12</f>
        <v/>
      </c>
      <c r="F24" s="24">
        <f>SUMIF('Ritten &amp; Kosten'!$B$3:$B$12,Voertuigen!A12,'Ritten &amp; Kosten'!$L$3:$L$12)</f>
        <v/>
      </c>
    </row>
    <row r="25"/>
    <row r="26"/>
    <row r="27">
      <c r="A27" s="11" t="inlineStr">
        <is>
          <t>Maand</t>
        </is>
      </c>
      <c r="B27" s="11" t="inlineStr">
        <is>
          <t>Totale kosten</t>
        </is>
      </c>
    </row>
    <row r="28">
      <c r="A28" s="21" t="inlineStr">
        <is>
          <t>Januari</t>
        </is>
      </c>
      <c r="B28" s="22">
        <f>SUMIFS('Ritten &amp; Kosten'!$O$3:$O$12,'Ritten &amp; Kosten'!$A$3:$A$12,"&gt;="&amp;DATE(2026,1,1),'Ritten &amp; Kosten'!$A$3:$A$12,"&lt;"&amp;DATE(2026,1+1,1))</f>
        <v/>
      </c>
    </row>
    <row r="29">
      <c r="A29" s="23" t="inlineStr">
        <is>
          <t>Februari</t>
        </is>
      </c>
      <c r="B29" s="24">
        <f>SUMIFS('Ritten &amp; Kosten'!$O$3:$O$12,'Ritten &amp; Kosten'!$A$3:$A$12,"&gt;="&amp;DATE(2026,2,1),'Ritten &amp; Kosten'!$A$3:$A$12,"&lt;"&amp;DATE(2026,2+1,1))</f>
        <v/>
      </c>
    </row>
    <row r="30">
      <c r="A30" s="21" t="inlineStr">
        <is>
          <t>Maart</t>
        </is>
      </c>
      <c r="B30" s="22">
        <f>SUMIFS('Ritten &amp; Kosten'!$O$3:$O$12,'Ritten &amp; Kosten'!$A$3:$A$12,"&gt;="&amp;DATE(2026,3,1),'Ritten &amp; Kosten'!$A$3:$A$12,"&lt;"&amp;DATE(2026,3+1,1))</f>
        <v/>
      </c>
    </row>
    <row r="31">
      <c r="A31" s="23" t="inlineStr">
        <is>
          <t>April</t>
        </is>
      </c>
      <c r="B31" s="24">
        <f>SUMIFS('Ritten &amp; Kosten'!$O$3:$O$12,'Ritten &amp; Kosten'!$A$3:$A$12,"&gt;="&amp;DATE(2026,4,1),'Ritten &amp; Kosten'!$A$3:$A$12,"&lt;"&amp;DATE(2026,4+1,1))</f>
        <v/>
      </c>
    </row>
    <row r="32">
      <c r="A32" s="21" t="inlineStr">
        <is>
          <t>Mei</t>
        </is>
      </c>
      <c r="B32" s="22">
        <f>SUMIFS('Ritten &amp; Kosten'!$O$3:$O$12,'Ritten &amp; Kosten'!$A$3:$A$12,"&gt;="&amp;DATE(2026,5,1),'Ritten &amp; Kosten'!$A$3:$A$12,"&lt;"&amp;DATE(2026,5+1,1))</f>
        <v/>
      </c>
    </row>
    <row r="33">
      <c r="A33" s="23" t="inlineStr">
        <is>
          <t>Juni</t>
        </is>
      </c>
      <c r="B33" s="24">
        <f>SUMIFS('Ritten &amp; Kosten'!$O$3:$O$12,'Ritten &amp; Kosten'!$A$3:$A$12,"&gt;="&amp;DATE(2026,6,1),'Ritten &amp; Kosten'!$A$3:$A$12,"&lt;"&amp;DATE(2026,6+1,1))</f>
        <v/>
      </c>
    </row>
  </sheetData>
  <mergeCells count="1">
    <mergeCell ref="A1:H1"/>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100" customWidth="1" min="2" max="2"/>
  </cols>
  <sheetData>
    <row r="1" ht="28" customHeight="1">
      <c r="A1" s="1" t="inlineStr">
        <is>
          <t>Toelichting bij het wagenparkbeheer sjabloon</t>
        </is>
      </c>
    </row>
    <row r="2">
      <c r="A2" s="20" t="inlineStr">
        <is>
          <t>Werkblad</t>
        </is>
      </c>
      <c r="B2" s="20" t="inlineStr">
        <is>
          <t>Uitleg</t>
        </is>
      </c>
    </row>
    <row r="3" ht="60" customHeight="1">
      <c r="A3" s="29" t="inlineStr">
        <is>
          <t>Voertuigen</t>
        </is>
      </c>
      <c r="B3" s="30" t="inlineStr">
        <is>
          <t>Hoofdregister met alle voertuigen: kenmerken, aanschafwaarde, jaarlijkse kosten (lease/afschrijving, verzekering, wegenbelasting), APK-vervaldatum en status. Kolom 'Totale jaarlijkse kosten' telt lease, verzekering en wegenbelasting op. Kolom 'APK-waarschuwing' toont een melding als de APK binnen 30 dagen verloopt.</t>
        </is>
      </c>
    </row>
    <row r="4" ht="60" customHeight="1">
      <c r="A4" s="31" t="inlineStr">
        <is>
          <t>Ritten &amp; Kosten</t>
        </is>
      </c>
      <c r="B4" s="32" t="inlineStr">
        <is>
          <t>Transactieoverzicht van ritten, brandstofkosten en onderhoudskosten per rit. Kenteken wordt automatisch opgezocht via het Voertuig-ID (VLOOKUP met IFERROR). Afstand, totale ritkosten en verbruik per 100 km worden automatisch berekend.</t>
        </is>
      </c>
    </row>
    <row r="5" ht="60" customHeight="1">
      <c r="A5" s="29" t="inlineStr">
        <is>
          <t>Onderhoud &amp; Keuringen</t>
        </is>
      </c>
      <c r="B5" s="30" t="inlineStr">
        <is>
          <t>Planning en controle van onderhoud, APK-keuringen en bandenwissels. Status geeft aan of het onderhoud op tijd, te laat of nog gepland is. Dagen tot APK en waarschuwing helpen bij tijdige actie. Onderaan staat een overzicht van totale onderhoudskosten per voertuig (SUMIF).</t>
        </is>
      </c>
    </row>
    <row r="6" ht="60" customHeight="1">
      <c r="A6" s="31" t="inlineStr">
        <is>
          <t>Dashboard</t>
        </is>
      </c>
      <c r="B6" s="32" t="inlineStr">
        <is>
          <t>Managementoverzicht met kerncijfers (aantal voertuigen, kosten, kilometers, verbruik, APK-waarschuwingen) en grafieken: jaarlijkse kosten per voertuig, brandstofkosten per voertuig, kosten per maand en verdeling van voertuigstatussen.</t>
        </is>
      </c>
    </row>
    <row r="7" ht="60" customHeight="1">
      <c r="A7" s="29" t="inlineStr">
        <is>
          <t>Kleurcodes</t>
        </is>
      </c>
      <c r="B7" s="30" t="inlineStr">
        <is>
          <t>Lichtgeel = invoerveld (bewerkbaar). Groen = positief/OK. Rood = waarschuwing of actie nodig. Wisselende rijkleuren verbeteren de leesbaarheid van de tabellen.</t>
        </is>
      </c>
    </row>
    <row r="8" ht="60" customHeight="1">
      <c r="A8" s="31" t="inlineStr">
        <is>
          <t>Filters en bevriezen</t>
        </is>
      </c>
      <c r="B8" s="32" t="inlineStr">
        <is>
          <t>Alle tabellen hebben een autofilter op de headerrij en de eerste rijen zijn bevroren zodat de kopteksten zichtbaar blijven tijdens het scrollen.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2026-07-02T21:14:13Z</dcterms:created>
  <dcterms:modified xmlns:dcterms="http://purl.org/dc/terms/" xmlns:xsi="http://www.w3.org/2001/XMLSchema-instance" xsi:type="dcterms:W3CDTF">2026-07-02T21:14:13Z</dcterms:modified>
</cp:coreProperties>
</file>