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rkbonnen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Monteurs" sheetId="3" state="visible" r:id="rId3"/>
    <sheet xmlns:r="http://schemas.openxmlformats.org/officeDocument/2006/relationships" name="Instructi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-MM-YYYY"/>
    <numFmt numFmtId="165" formatCode="hh:mm"/>
    <numFmt numFmtId="166" formatCode="0,00"/>
    <numFmt numFmtId="167" formatCode="&quot;€&quot; #.##0,00"/>
  </numFmts>
  <fonts count="6">
    <font>
      <name val="Calibri"/>
      <family val="2"/>
      <color theme="1"/>
      <sz val="11"/>
      <scheme val="minor"/>
    </font>
    <font>
      <b val="1"/>
      <color rgb="001E293B"/>
      <sz val="14"/>
    </font>
    <font>
      <b val="1"/>
      <color rgb="00FFFFFF"/>
      <sz val="11"/>
    </font>
    <font>
      <b val="1"/>
      <color rgb="001F2937"/>
      <sz val="10"/>
    </font>
    <font>
      <b val="1"/>
      <color rgb="00FFFFFF"/>
    </font>
    <font>
      <color rgb="001F2937"/>
      <sz val="10"/>
    </font>
  </fonts>
  <fills count="7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167" fontId="0" fillId="3" borderId="1" pivotButton="0" quotePrefix="0" xfId="0"/>
    <xf numFmtId="167" fontId="0" fillId="4" borderId="1" pivotButton="0" quotePrefix="0" xfId="0"/>
    <xf numFmtId="9" fontId="0" fillId="4" borderId="1" pivotButton="0" quotePrefix="0" xfId="0"/>
    <xf numFmtId="0" fontId="0" fillId="4" borderId="1" pivotButton="0" quotePrefix="0" xfId="0"/>
    <xf numFmtId="0" fontId="0" fillId="5" borderId="1" pivotButton="0" quotePrefix="0" xfId="0"/>
    <xf numFmtId="164" fontId="0" fillId="5" borderId="1" pivotButton="0" quotePrefix="0" xfId="0"/>
    <xf numFmtId="165" fontId="0" fillId="5" borderId="1" pivotButton="0" quotePrefix="0" xfId="0"/>
    <xf numFmtId="166" fontId="0" fillId="5" borderId="1" pivotButton="0" quotePrefix="0" xfId="0"/>
    <xf numFmtId="167" fontId="0" fillId="5" borderId="1" pivotButton="0" quotePrefix="0" xfId="0"/>
    <xf numFmtId="0" fontId="4" fillId="6" borderId="0" pivotButton="0" quotePrefix="0" xfId="0"/>
    <xf numFmtId="167" fontId="4" fillId="6" borderId="1" pivotButton="0" quotePrefix="0" xfId="0"/>
    <xf numFmtId="0" fontId="1" fillId="0" borderId="0" pivotButton="0" quotePrefix="0" xfId="0"/>
    <xf numFmtId="0" fontId="2" fillId="6" borderId="0" applyAlignment="1" pivotButton="0" quotePrefix="0" xfId="0">
      <alignment horizontal="left" vertical="center"/>
    </xf>
    <xf numFmtId="0" fontId="3" fillId="3" borderId="1" pivotButton="0" quotePrefix="0" xfId="0"/>
    <xf numFmtId="0" fontId="5" fillId="5" borderId="1" pivotButton="0" quotePrefix="0" xfId="0"/>
    <xf numFmtId="0" fontId="3" fillId="5" borderId="1" pivotButton="0" quotePrefix="0" xfId="0"/>
    <xf numFmtId="166" fontId="5" fillId="5" borderId="1" pivotButton="0" quotePrefix="0" xfId="0"/>
    <xf numFmtId="167" fontId="5" fillId="5" borderId="1" pivotButton="0" quotePrefix="0" xfId="0"/>
    <xf numFmtId="0" fontId="2" fillId="6" borderId="0" pivotButton="0" quotePrefix="0" xfId="0"/>
    <xf numFmtId="0" fontId="2" fillId="2" borderId="0" pivotButton="0" quotePrefix="0" xfId="0"/>
    <xf numFmtId="1" fontId="0" fillId="3" borderId="1" pivotButton="0" quotePrefix="0" xfId="0"/>
    <xf numFmtId="1" fontId="0" fillId="5" borderId="1" pivotButton="0" quotePrefix="0" xfId="0"/>
    <xf numFmtId="9" fontId="0" fillId="3" borderId="1" pivotButton="0" quotePrefix="0" xfId="0"/>
    <xf numFmtId="9" fontId="0" fillId="5" borderId="1" pivotButton="0" quotePrefix="0" xfId="0"/>
    <xf numFmtId="0" fontId="5" fillId="0" borderId="0" applyAlignment="1" pivotButton="0" quotePrefix="0" xfId="0">
      <alignment horizontal="left" vertical="center" wrapText="1"/>
    </xf>
    <xf numFmtId="164" fontId="0" fillId="3" borderId="1" pivotButton="0" quotePrefix="0" xfId="0"/>
    <xf numFmtId="165" fontId="0" fillId="3" borderId="1" pivotButton="0" quotePrefix="0" xfId="0"/>
    <xf numFmtId="166" fontId="0" fillId="3" borderId="1" pivotButton="0" quotePrefix="0" xfId="0"/>
    <xf numFmtId="167" fontId="0" fillId="3" borderId="1" pivotButton="0" quotePrefix="0" xfId="0"/>
    <xf numFmtId="167" fontId="0" fillId="4" borderId="1" pivotButton="0" quotePrefix="0" xfId="0"/>
    <xf numFmtId="164" fontId="0" fillId="5" borderId="1" pivotButton="0" quotePrefix="0" xfId="0"/>
    <xf numFmtId="165" fontId="0" fillId="5" borderId="1" pivotButton="0" quotePrefix="0" xfId="0"/>
    <xf numFmtId="166" fontId="0" fillId="5" borderId="1" pivotButton="0" quotePrefix="0" xfId="0"/>
    <xf numFmtId="167" fontId="0" fillId="5" borderId="1" pivotButton="0" quotePrefix="0" xfId="0"/>
    <xf numFmtId="167" fontId="4" fillId="6" borderId="1" pivotButton="0" quotePrefix="0" xfId="0"/>
    <xf numFmtId="166" fontId="5" fillId="5" borderId="1" pivotButton="0" quotePrefix="0" xfId="0"/>
    <xf numFmtId="167" fontId="5" fillId="5" borderId="1" pivotButton="0" quotePrefix="0" xfId="0"/>
  </cellXfs>
  <cellStyles count="1">
    <cellStyle name="Normal" xfId="0" builtinId="0" hidden="0"/>
  </cellStyles>
  <dxfs count="5">
    <dxf>
      <font>
        <b val="1"/>
        <color rgb="0016A34A"/>
      </font>
      <fill>
        <patternFill patternType="solid">
          <fgColor rgb="00DCFCE7"/>
        </patternFill>
      </fill>
    </dxf>
    <dxf>
      <font>
        <b val="1"/>
        <color rgb="00DC2626"/>
      </font>
      <fill>
        <patternFill patternType="solid">
          <fgColor rgb="00FEE2E2"/>
        </patternFill>
      </fill>
    </dxf>
    <dxf>
      <font>
        <b val="1"/>
        <color rgb="00A16207"/>
      </font>
      <fill>
        <patternFill patternType="solid">
          <fgColor rgb="00FEF9C3"/>
        </patternFill>
      </fill>
    </dxf>
    <dxf>
      <font>
        <b val="1"/>
        <color rgb="0016A34A"/>
      </font>
    </dxf>
    <dxf>
      <font>
        <b val="1"/>
        <color rgb="00DC262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Omzet per monteur (excl. btw)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'Dashboard'!$A$15:$A$22</f>
            </numRef>
          </cat>
          <val>
            <numRef>
              <f>'Dashboard'!$B$15:$B$22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Monteur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Omzet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Werkbonnen per maand 2026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'Dashboard'!E14</f>
            </strRef>
          </tx>
          <spPr>
            <a:ln xmlns:a="http://schemas.openxmlformats.org/drawingml/2006/main" w="25000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'Dashboard'!$D$15:$D$20</f>
            </numRef>
          </cat>
          <val>
            <numRef>
              <f>'Dashboard'!$E$15:$E$20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Maand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Aantal werkbonnen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Verdeling status werkbonnen</a:t>
            </a:r>
          </a:p>
        </rich>
      </tx>
    </title>
    <plotArea>
      <pieChart>
        <varyColors val="1"/>
        <ser>
          <idx val="0"/>
          <order val="0"/>
          <tx>
            <strRef>
              <f>'Dashboard'!H14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'Dashboard'!$G$15:$G$17</f>
            </numRef>
          </cat>
          <val>
            <numRef>
              <f>'Dashboard'!$H$15:$H$17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42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24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8" customWidth="1" min="4" max="4"/>
    <col width="14" customWidth="1" min="5" max="5"/>
    <col width="20" customWidth="1" min="6" max="6"/>
    <col width="24" customWidth="1" min="7" max="7"/>
    <col width="10" customWidth="1" min="8" max="8"/>
    <col width="10" customWidth="1" min="9" max="9"/>
    <col width="8" customWidth="1" min="10" max="10"/>
    <col width="11" customWidth="1" min="11" max="11"/>
    <col width="15" customWidth="1" min="12" max="12"/>
    <col width="13" customWidth="1" min="13" max="13"/>
    <col width="15" customWidth="1" min="14" max="14"/>
    <col width="12" customWidth="1" min="15" max="15"/>
    <col width="12" customWidth="1" min="16" max="16"/>
    <col width="15" customWidth="1" min="17" max="17"/>
    <col width="15" customWidth="1" min="18" max="18"/>
    <col width="10" customWidth="1" min="19" max="19"/>
    <col width="28" customWidth="1" min="20" max="20"/>
  </cols>
  <sheetData>
    <row r="1" ht="24" customHeight="1">
      <c r="A1" s="1" t="inlineStr">
        <is>
          <t>Werkbon Monteur - Registratieoverzicht 2026</t>
        </is>
      </c>
    </row>
    <row r="2"/>
    <row r="3" ht="30" customHeight="1">
      <c r="A3" s="2" t="inlineStr">
        <is>
          <t>Werkbonnummer</t>
        </is>
      </c>
      <c r="B3" s="2" t="inlineStr">
        <is>
          <t>Datum</t>
        </is>
      </c>
      <c r="C3" s="2" t="inlineStr">
        <is>
          <t>Monteur</t>
        </is>
      </c>
      <c r="D3" s="2" t="inlineStr">
        <is>
          <t>Klantnaam</t>
        </is>
      </c>
      <c r="E3" s="2" t="inlineStr">
        <is>
          <t>Plaats</t>
        </is>
      </c>
      <c r="F3" s="2" t="inlineStr">
        <is>
          <t>Adres</t>
        </is>
      </c>
      <c r="G3" s="2" t="inlineStr">
        <is>
          <t>Werkzaamheden</t>
        </is>
      </c>
      <c r="H3" s="2" t="inlineStr">
        <is>
          <t>Starttijd</t>
        </is>
      </c>
      <c r="I3" s="2" t="inlineStr">
        <is>
          <t>Eindtijd</t>
        </is>
      </c>
      <c r="J3" s="2" t="inlineStr">
        <is>
          <t>Uren</t>
        </is>
      </c>
      <c r="K3" s="2" t="inlineStr">
        <is>
          <t>Uurtarief</t>
        </is>
      </c>
      <c r="L3" s="2" t="inlineStr">
        <is>
          <t>Materiaalkosten</t>
        </is>
      </c>
      <c r="M3" s="2" t="inlineStr">
        <is>
          <t>Voorrijkosten</t>
        </is>
      </c>
      <c r="N3" s="2" t="inlineStr">
        <is>
          <t>Totaal excl. btw</t>
        </is>
      </c>
      <c r="O3" s="2" t="inlineStr">
        <is>
          <t>Btw-percentage</t>
        </is>
      </c>
      <c r="P3" s="2" t="inlineStr">
        <is>
          <t>Btw-bedrag</t>
        </is>
      </c>
      <c r="Q3" s="2" t="inlineStr">
        <is>
          <t>Totaal incl. btw</t>
        </is>
      </c>
      <c r="R3" s="2" t="inlineStr">
        <is>
          <t>Status</t>
        </is>
      </c>
      <c r="S3" s="2" t="inlineStr">
        <is>
          <t>Betaald?</t>
        </is>
      </c>
      <c r="T3" s="2" t="inlineStr">
        <is>
          <t>Opmerking</t>
        </is>
      </c>
    </row>
    <row r="4">
      <c r="A4" s="3" t="inlineStr">
        <is>
          <t>WB-2026-001</t>
        </is>
      </c>
      <c r="B4" s="32" t="n">
        <v>46037</v>
      </c>
      <c r="C4" s="3" t="inlineStr">
        <is>
          <t>Sanne</t>
        </is>
      </c>
      <c r="D4" s="3" t="inlineStr">
        <is>
          <t>Fam. de Vries</t>
        </is>
      </c>
      <c r="E4" s="3" t="inlineStr">
        <is>
          <t>Amsterdam</t>
        </is>
      </c>
      <c r="F4" s="3" t="inlineStr">
        <is>
          <t>Prinsengracht 12</t>
        </is>
      </c>
      <c r="G4" s="3" t="inlineStr">
        <is>
          <t>Cv-ketel onderhoud</t>
        </is>
      </c>
      <c r="H4" s="33" t="n">
        <v>0.3333333333333333</v>
      </c>
      <c r="I4" s="33" t="n">
        <v>0.4375</v>
      </c>
      <c r="J4" s="34">
        <f>(I4-H4)*24</f>
        <v/>
      </c>
      <c r="K4" s="35">
        <f>IFERROR(VLOOKUP(C4,Monteurs!$A$4:$C$11,3,FALSE),65)</f>
        <v/>
      </c>
      <c r="L4" s="36" t="n">
        <v>45</v>
      </c>
      <c r="M4" s="36" t="n">
        <v>0</v>
      </c>
      <c r="N4" s="35">
        <f>J4*K4+L4+M4</f>
        <v/>
      </c>
      <c r="O4" s="9" t="n">
        <v>0.21</v>
      </c>
      <c r="P4" s="35">
        <f>N4*O4</f>
        <v/>
      </c>
      <c r="Q4" s="35">
        <f>N4+P4</f>
        <v/>
      </c>
      <c r="R4" s="10" t="inlineStr">
        <is>
          <t>Afgerond</t>
        </is>
      </c>
      <c r="S4" s="3">
        <f>IF(R4="Afgerond","Ja","Nee")</f>
        <v/>
      </c>
      <c r="T4" s="3">
        <f>IFERROR(IF(J4&lt;=0,"Controleer tijden!",IF(K4&lt;50,"Tarief laag - controleren","")),"")</f>
        <v/>
      </c>
    </row>
    <row r="5">
      <c r="A5" s="11" t="inlineStr">
        <is>
          <t>WB-2026-002</t>
        </is>
      </c>
      <c r="B5" s="37" t="n">
        <v>46044</v>
      </c>
      <c r="C5" s="11" t="inlineStr">
        <is>
          <t>Daan</t>
        </is>
      </c>
      <c r="D5" s="11" t="inlineStr">
        <is>
          <t>Bakker BV</t>
        </is>
      </c>
      <c r="E5" s="11" t="inlineStr">
        <is>
          <t>Rotterdam</t>
        </is>
      </c>
      <c r="F5" s="11" t="inlineStr">
        <is>
          <t>Coolsingel 45</t>
        </is>
      </c>
      <c r="G5" s="11" t="inlineStr">
        <is>
          <t>Groepenkast vervangen</t>
        </is>
      </c>
      <c r="H5" s="38" t="n">
        <v>0.375</v>
      </c>
      <c r="I5" s="38" t="n">
        <v>0.5416666666666666</v>
      </c>
      <c r="J5" s="39">
        <f>(I5-H5)*24</f>
        <v/>
      </c>
      <c r="K5" s="40">
        <f>IFERROR(VLOOKUP(C5,Monteurs!$A$4:$C$11,3,FALSE),65)</f>
        <v/>
      </c>
      <c r="L5" s="36" t="n">
        <v>180</v>
      </c>
      <c r="M5" s="36" t="n">
        <v>45</v>
      </c>
      <c r="N5" s="40">
        <f>J5*K5+L5+M5</f>
        <v/>
      </c>
      <c r="O5" s="9" t="n">
        <v>0.21</v>
      </c>
      <c r="P5" s="40">
        <f>N5*O5</f>
        <v/>
      </c>
      <c r="Q5" s="40">
        <f>N5+P5</f>
        <v/>
      </c>
      <c r="R5" s="10" t="inlineStr">
        <is>
          <t>Afgerond</t>
        </is>
      </c>
      <c r="S5" s="11">
        <f>IF(R5="Afgerond","Ja","Nee")</f>
        <v/>
      </c>
      <c r="T5" s="11">
        <f>IFERROR(IF(J5&lt;=0,"Controleer tijden!",IF(K5&lt;50,"Tarief laag - controleren","")),"")</f>
        <v/>
      </c>
    </row>
    <row r="6">
      <c r="A6" s="3" t="inlineStr">
        <is>
          <t>WB-2026-003</t>
        </is>
      </c>
      <c r="B6" s="32" t="n">
        <v>46056</v>
      </c>
      <c r="C6" s="3" t="inlineStr">
        <is>
          <t>Emma</t>
        </is>
      </c>
      <c r="D6" s="3" t="inlineStr">
        <is>
          <t>Jansen</t>
        </is>
      </c>
      <c r="E6" s="3" t="inlineStr">
        <is>
          <t>Utrecht</t>
        </is>
      </c>
      <c r="F6" s="3" t="inlineStr">
        <is>
          <t>Vredenburg 3</t>
        </is>
      </c>
      <c r="G6" s="3" t="inlineStr">
        <is>
          <t>Lekkage verhelpen</t>
        </is>
      </c>
      <c r="H6" s="33" t="n">
        <v>0.4583333333333333</v>
      </c>
      <c r="I6" s="33" t="n">
        <v>0.5104166666666666</v>
      </c>
      <c r="J6" s="34">
        <f>(I6-H6)*24</f>
        <v/>
      </c>
      <c r="K6" s="35">
        <f>IFERROR(VLOOKUP(C6,Monteurs!$A$4:$C$11,3,FALSE),65)</f>
        <v/>
      </c>
      <c r="L6" s="36" t="n">
        <v>25</v>
      </c>
      <c r="M6" s="36" t="n">
        <v>0</v>
      </c>
      <c r="N6" s="35">
        <f>J6*K6+L6+M6</f>
        <v/>
      </c>
      <c r="O6" s="9" t="n">
        <v>0.09</v>
      </c>
      <c r="P6" s="35">
        <f>N6*O6</f>
        <v/>
      </c>
      <c r="Q6" s="35">
        <f>N6+P6</f>
        <v/>
      </c>
      <c r="R6" s="10" t="inlineStr">
        <is>
          <t>In behandeling</t>
        </is>
      </c>
      <c r="S6" s="3">
        <f>IF(R6="Afgerond","Ja","Nee")</f>
        <v/>
      </c>
      <c r="T6" s="3">
        <f>IFERROR(IF(J6&lt;=0,"Controleer tijden!",IF(K6&lt;50,"Tarief laag - controleren","")),"")</f>
        <v/>
      </c>
    </row>
    <row r="7">
      <c r="A7" s="11" t="inlineStr">
        <is>
          <t>WB-2026-004</t>
        </is>
      </c>
      <c r="B7" s="37" t="n">
        <v>46067</v>
      </c>
      <c r="C7" s="11" t="inlineStr">
        <is>
          <t>Lars</t>
        </is>
      </c>
      <c r="D7" s="11" t="inlineStr">
        <is>
          <t>De Groot</t>
        </is>
      </c>
      <c r="E7" s="11" t="inlineStr">
        <is>
          <t>Eindhoven</t>
        </is>
      </c>
      <c r="F7" s="11" t="inlineStr">
        <is>
          <t>Stratumseind 8</t>
        </is>
      </c>
      <c r="G7" s="11" t="inlineStr">
        <is>
          <t>Storing storingsdienst</t>
        </is>
      </c>
      <c r="H7" s="38" t="n">
        <v>0.7916666666666666</v>
      </c>
      <c r="I7" s="38" t="n">
        <v>0.875</v>
      </c>
      <c r="J7" s="39">
        <f>(I7-H7)*24</f>
        <v/>
      </c>
      <c r="K7" s="40">
        <f>IFERROR(VLOOKUP(C7,Monteurs!$A$4:$C$11,3,FALSE),65)</f>
        <v/>
      </c>
      <c r="L7" s="36" t="n">
        <v>0</v>
      </c>
      <c r="M7" s="36" t="n">
        <v>75</v>
      </c>
      <c r="N7" s="40">
        <f>J7*K7+L7+M7</f>
        <v/>
      </c>
      <c r="O7" s="9" t="n">
        <v>0.21</v>
      </c>
      <c r="P7" s="40">
        <f>N7*O7</f>
        <v/>
      </c>
      <c r="Q7" s="40">
        <f>N7+P7</f>
        <v/>
      </c>
      <c r="R7" s="10" t="inlineStr">
        <is>
          <t>Afgerond</t>
        </is>
      </c>
      <c r="S7" s="11">
        <f>IF(R7="Afgerond","Ja","Nee")</f>
        <v/>
      </c>
      <c r="T7" s="11">
        <f>IFERROR(IF(J7&lt;=0,"Controleer tijden!",IF(K7&lt;50,"Tarief laag - controleren","")),"")</f>
        <v/>
      </c>
    </row>
    <row r="8">
      <c r="A8" s="3" t="inlineStr">
        <is>
          <t>WB-2026-005</t>
        </is>
      </c>
      <c r="B8" s="32" t="n">
        <v>46086</v>
      </c>
      <c r="C8" s="3" t="inlineStr">
        <is>
          <t>Sophie</t>
        </is>
      </c>
      <c r="D8" s="3" t="inlineStr">
        <is>
          <t>Van Dijk</t>
        </is>
      </c>
      <c r="E8" s="3" t="inlineStr">
        <is>
          <t>Groningen</t>
        </is>
      </c>
      <c r="F8" s="3" t="inlineStr">
        <is>
          <t>Grote Markt 1</t>
        </is>
      </c>
      <c r="G8" s="3" t="inlineStr">
        <is>
          <t>Installatie laadpaal</t>
        </is>
      </c>
      <c r="H8" s="33" t="n">
        <v>0.3541666666666667</v>
      </c>
      <c r="I8" s="33" t="n">
        <v>0.5</v>
      </c>
      <c r="J8" s="34">
        <f>(I8-H8)*24</f>
        <v/>
      </c>
      <c r="K8" s="35">
        <f>IFERROR(VLOOKUP(C8,Monteurs!$A$4:$C$11,3,FALSE),65)</f>
        <v/>
      </c>
      <c r="L8" s="36" t="n">
        <v>245</v>
      </c>
      <c r="M8" s="36" t="n">
        <v>0</v>
      </c>
      <c r="N8" s="35">
        <f>J8*K8+L8+M8</f>
        <v/>
      </c>
      <c r="O8" s="9" t="n">
        <v>0.21</v>
      </c>
      <c r="P8" s="35">
        <f>N8*O8</f>
        <v/>
      </c>
      <c r="Q8" s="35">
        <f>N8+P8</f>
        <v/>
      </c>
      <c r="R8" s="10" t="inlineStr">
        <is>
          <t>Open</t>
        </is>
      </c>
      <c r="S8" s="3">
        <f>IF(R8="Afgerond","Ja","Nee")</f>
        <v/>
      </c>
      <c r="T8" s="3">
        <f>IFERROR(IF(J8&lt;=0,"Controleer tijden!",IF(K8&lt;50,"Tarief laag - controleren","")),"")</f>
        <v/>
      </c>
    </row>
    <row r="9">
      <c r="A9" s="11" t="inlineStr">
        <is>
          <t>WB-2026-006</t>
        </is>
      </c>
      <c r="B9" s="37" t="n">
        <v>46099</v>
      </c>
      <c r="C9" s="11" t="inlineStr">
        <is>
          <t>Bram</t>
        </is>
      </c>
      <c r="D9" s="11" t="inlineStr">
        <is>
          <t>Peters</t>
        </is>
      </c>
      <c r="E9" s="11" t="inlineStr">
        <is>
          <t>Den Haag</t>
        </is>
      </c>
      <c r="F9" s="11" t="inlineStr">
        <is>
          <t>Spui 20</t>
        </is>
      </c>
      <c r="G9" s="11" t="inlineStr">
        <is>
          <t>Zonnepanelen-aansluiting</t>
        </is>
      </c>
      <c r="H9" s="38" t="n">
        <v>0.3333333333333333</v>
      </c>
      <c r="I9" s="38" t="n">
        <v>0.6041666666666666</v>
      </c>
      <c r="J9" s="39">
        <f>(I9-H9)*24</f>
        <v/>
      </c>
      <c r="K9" s="40">
        <f>IFERROR(VLOOKUP(C9,Monteurs!$A$4:$C$11,3,FALSE),65)</f>
        <v/>
      </c>
      <c r="L9" s="36" t="n">
        <v>210</v>
      </c>
      <c r="M9" s="36" t="n">
        <v>0</v>
      </c>
      <c r="N9" s="40">
        <f>J9*K9+L9+M9</f>
        <v/>
      </c>
      <c r="O9" s="9" t="n">
        <v>0.21</v>
      </c>
      <c r="P9" s="40">
        <f>N9*O9</f>
        <v/>
      </c>
      <c r="Q9" s="40">
        <f>N9+P9</f>
        <v/>
      </c>
      <c r="R9" s="10" t="inlineStr">
        <is>
          <t>Afgerond</t>
        </is>
      </c>
      <c r="S9" s="11">
        <f>IF(R9="Afgerond","Ja","Nee")</f>
        <v/>
      </c>
      <c r="T9" s="11">
        <f>IFERROR(IF(J9&lt;=0,"Controleer tijden!",IF(K9&lt;50,"Tarief laag - controleren","")),"")</f>
        <v/>
      </c>
    </row>
    <row r="10">
      <c r="A10" s="3" t="inlineStr">
        <is>
          <t>WB-2026-007</t>
        </is>
      </c>
      <c r="B10" s="32" t="n">
        <v>46114</v>
      </c>
      <c r="C10" s="3" t="inlineStr">
        <is>
          <t>Julia</t>
        </is>
      </c>
      <c r="D10" s="3" t="inlineStr">
        <is>
          <t>Smit</t>
        </is>
      </c>
      <c r="E10" s="3" t="inlineStr">
        <is>
          <t>Tilburg</t>
        </is>
      </c>
      <c r="F10" s="3" t="inlineStr">
        <is>
          <t>Heuvelstraat 5</t>
        </is>
      </c>
      <c r="G10" s="3" t="inlineStr">
        <is>
          <t>Kraan vervangen</t>
        </is>
      </c>
      <c r="H10" s="33" t="n">
        <v>0.4166666666666667</v>
      </c>
      <c r="I10" s="33" t="n">
        <v>0.4583333333333333</v>
      </c>
      <c r="J10" s="34">
        <f>(I10-H10)*24</f>
        <v/>
      </c>
      <c r="K10" s="35">
        <f>IFERROR(VLOOKUP(C10,Monteurs!$A$4:$C$11,3,FALSE),65)</f>
        <v/>
      </c>
      <c r="L10" s="36" t="n">
        <v>15</v>
      </c>
      <c r="M10" s="36" t="n">
        <v>0</v>
      </c>
      <c r="N10" s="35">
        <f>J10*K10+L10+M10</f>
        <v/>
      </c>
      <c r="O10" s="9" t="n">
        <v>0.09</v>
      </c>
      <c r="P10" s="35">
        <f>N10*O10</f>
        <v/>
      </c>
      <c r="Q10" s="35">
        <f>N10+P10</f>
        <v/>
      </c>
      <c r="R10" s="10" t="inlineStr">
        <is>
          <t>Afgerond</t>
        </is>
      </c>
      <c r="S10" s="3">
        <f>IF(R10="Afgerond","Ja","Nee")</f>
        <v/>
      </c>
      <c r="T10" s="3">
        <f>IFERROR(IF(J10&lt;=0,"Controleer tijden!",IF(K10&lt;50,"Tarief laag - controleren","")),"")</f>
        <v/>
      </c>
    </row>
    <row r="11">
      <c r="A11" s="11" t="inlineStr">
        <is>
          <t>WB-2026-008</t>
        </is>
      </c>
      <c r="B11" s="37" t="n">
        <v>46132</v>
      </c>
      <c r="C11" s="11" t="inlineStr">
        <is>
          <t>Thijs</t>
        </is>
      </c>
      <c r="D11" s="11" t="inlineStr">
        <is>
          <t>De Boer</t>
        </is>
      </c>
      <c r="E11" s="11" t="inlineStr">
        <is>
          <t>Nijmegen</t>
        </is>
      </c>
      <c r="F11" s="11" t="inlineStr">
        <is>
          <t>Molenstraat 9</t>
        </is>
      </c>
      <c r="G11" s="11" t="inlineStr">
        <is>
          <t>Thermostaat plaatsen</t>
        </is>
      </c>
      <c r="H11" s="38" t="n">
        <v>0.5416666666666666</v>
      </c>
      <c r="I11" s="38" t="n">
        <v>0.5833333333333334</v>
      </c>
      <c r="J11" s="39">
        <f>(I11-H11)*24</f>
        <v/>
      </c>
      <c r="K11" s="40">
        <f>IFERROR(VLOOKUP(C11,Monteurs!$A$4:$C$11,3,FALSE),65)</f>
        <v/>
      </c>
      <c r="L11" s="36" t="n">
        <v>60</v>
      </c>
      <c r="M11" s="36" t="n">
        <v>0</v>
      </c>
      <c r="N11" s="40">
        <f>J11*K11+L11+M11</f>
        <v/>
      </c>
      <c r="O11" s="9" t="n">
        <v>0.21</v>
      </c>
      <c r="P11" s="40">
        <f>N11*O11</f>
        <v/>
      </c>
      <c r="Q11" s="40">
        <f>N11+P11</f>
        <v/>
      </c>
      <c r="R11" s="10" t="inlineStr">
        <is>
          <t>In behandeling</t>
        </is>
      </c>
      <c r="S11" s="11">
        <f>IF(R11="Afgerond","Ja","Nee")</f>
        <v/>
      </c>
      <c r="T11" s="11">
        <f>IFERROR(IF(J11&lt;=0,"Controleer tijden!",IF(K11&lt;50,"Tarief laag - controleren","")),"")</f>
        <v/>
      </c>
    </row>
    <row r="12">
      <c r="A12" s="3" t="inlineStr">
        <is>
          <t>WB-2026-009</t>
        </is>
      </c>
      <c r="B12" s="32" t="n">
        <v>46152</v>
      </c>
      <c r="C12" s="3" t="inlineStr">
        <is>
          <t>Sanne</t>
        </is>
      </c>
      <c r="D12" s="3" t="inlineStr">
        <is>
          <t>Hendriks</t>
        </is>
      </c>
      <c r="E12" s="3" t="inlineStr">
        <is>
          <t>Breda</t>
        </is>
      </c>
      <c r="F12" s="3" t="inlineStr">
        <is>
          <t>Ginnekenweg 2</t>
        </is>
      </c>
      <c r="G12" s="3" t="inlineStr">
        <is>
          <t>Storing verhelpen</t>
        </is>
      </c>
      <c r="H12" s="33" t="n">
        <v>0.375</v>
      </c>
      <c r="I12" s="33" t="n">
        <v>0.4375</v>
      </c>
      <c r="J12" s="34">
        <f>(I12-H12)*24</f>
        <v/>
      </c>
      <c r="K12" s="35">
        <f>IFERROR(VLOOKUP(C12,Monteurs!$A$4:$C$11,3,FALSE),65)</f>
        <v/>
      </c>
      <c r="L12" s="36" t="n">
        <v>0</v>
      </c>
      <c r="M12" s="36" t="n">
        <v>35</v>
      </c>
      <c r="N12" s="35">
        <f>J12*K12+L12+M12</f>
        <v/>
      </c>
      <c r="O12" s="9" t="n">
        <v>0.21</v>
      </c>
      <c r="P12" s="35">
        <f>N12*O12</f>
        <v/>
      </c>
      <c r="Q12" s="35">
        <f>N12+P12</f>
        <v/>
      </c>
      <c r="R12" s="10" t="inlineStr">
        <is>
          <t>Open</t>
        </is>
      </c>
      <c r="S12" s="3">
        <f>IF(R12="Afgerond","Ja","Nee")</f>
        <v/>
      </c>
      <c r="T12" s="3">
        <f>IFERROR(IF(J12&lt;=0,"Controleer tijden!",IF(K12&lt;50,"Tarief laag - controleren","")),"")</f>
        <v/>
      </c>
    </row>
    <row r="13">
      <c r="A13" s="11" t="inlineStr">
        <is>
          <t>WB-2026-010</t>
        </is>
      </c>
      <c r="B13" s="37" t="n">
        <v>46170</v>
      </c>
      <c r="C13" s="11" t="inlineStr">
        <is>
          <t>Daan</t>
        </is>
      </c>
      <c r="D13" s="11" t="inlineStr">
        <is>
          <t>De Wit</t>
        </is>
      </c>
      <c r="E13" s="11" t="inlineStr">
        <is>
          <t>Haarlem</t>
        </is>
      </c>
      <c r="F13" s="11" t="inlineStr">
        <is>
          <t>Kruisstraat 4</t>
        </is>
      </c>
      <c r="G13" s="11" t="inlineStr">
        <is>
          <t>Airco-check</t>
        </is>
      </c>
      <c r="H13" s="38" t="n">
        <v>0.5833333333333334</v>
      </c>
      <c r="I13" s="38" t="n">
        <v>0.6458333333333334</v>
      </c>
      <c r="J13" s="39">
        <f>(I13-H13)*24</f>
        <v/>
      </c>
      <c r="K13" s="40">
        <f>IFERROR(VLOOKUP(C13,Monteurs!$A$4:$C$11,3,FALSE),65)</f>
        <v/>
      </c>
      <c r="L13" s="36" t="n">
        <v>30</v>
      </c>
      <c r="M13" s="36" t="n">
        <v>0</v>
      </c>
      <c r="N13" s="40">
        <f>J13*K13+L13+M13</f>
        <v/>
      </c>
      <c r="O13" s="9" t="n">
        <v>0.21</v>
      </c>
      <c r="P13" s="40">
        <f>N13*O13</f>
        <v/>
      </c>
      <c r="Q13" s="40">
        <f>N13+P13</f>
        <v/>
      </c>
      <c r="R13" s="10" t="inlineStr">
        <is>
          <t>Afgerond</t>
        </is>
      </c>
      <c r="S13" s="11">
        <f>IF(R13="Afgerond","Ja","Nee")</f>
        <v/>
      </c>
      <c r="T13" s="11">
        <f>IFERROR(IF(J13&lt;=0,"Controleer tijden!",IF(K13&lt;50,"Tarief laag - controleren","")),"")</f>
        <v/>
      </c>
    </row>
    <row r="14">
      <c r="I14" s="16" t="inlineStr">
        <is>
          <t>Totalen</t>
        </is>
      </c>
      <c r="L14" s="41">
        <f>SUM(L4:L13)</f>
        <v/>
      </c>
      <c r="M14" s="41">
        <f>SUM(M4:M13)</f>
        <v/>
      </c>
      <c r="N14" s="41">
        <f>SUM(N4:N13)</f>
        <v/>
      </c>
      <c r="P14" s="41">
        <f>SUM(P4:P13)</f>
        <v/>
      </c>
      <c r="Q14" s="41">
        <f>SUM(Q4:Q13)</f>
        <v/>
      </c>
    </row>
  </sheetData>
  <mergeCells count="1">
    <mergeCell ref="A1:T1"/>
  </mergeCells>
  <conditionalFormatting sqref="R4:R13">
    <cfRule type="expression" priority="1" dxfId="0" stopIfTrue="1">
      <formula>R4="Afgerond"</formula>
    </cfRule>
    <cfRule type="expression" priority="2" dxfId="1" stopIfTrue="1">
      <formula>R4="Open"</formula>
    </cfRule>
    <cfRule type="expression" priority="3" dxfId="2" stopIfTrue="1">
      <formula>R4="In behandeling"</formula>
    </cfRule>
  </conditionalFormatting>
  <conditionalFormatting sqref="S4:S13">
    <cfRule type="expression" priority="4" dxfId="3">
      <formula>S4="Ja"</formula>
    </cfRule>
    <cfRule type="expression" priority="5" dxfId="4">
      <formula>S4="Nee"</formula>
    </cfRule>
  </conditionalFormatting>
  <dataValidations count="2">
    <dataValidation sqref="R4:R13" showErrorMessage="1" showInputMessage="1" allowBlank="0" type="list">
      <formula1>"Open,In behandeling,Afgerond"</formula1>
    </dataValidation>
    <dataValidation sqref="O4:O13" showErrorMessage="1" showInputMessage="1" allowBlank="0" type="list">
      <formula1>"0.21,0.09"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selection activeCell="A1" sqref="A1"/>
    </sheetView>
  </sheetViews>
  <sheetFormatPr baseColWidth="8" defaultRowHeight="15"/>
  <cols>
    <col width="32" customWidth="1" min="1" max="1"/>
    <col width="18" customWidth="1" min="2" max="2"/>
    <col width="14" customWidth="1" min="4" max="4"/>
    <col width="12" customWidth="1" min="5" max="5"/>
    <col width="16" customWidth="1" min="7" max="7"/>
    <col width="10" customWidth="1" min="8" max="8"/>
  </cols>
  <sheetData>
    <row r="1" ht="24" customHeight="1">
      <c r="A1" s="18" t="inlineStr">
        <is>
          <t>Dashboard - Werkbonnen Overzicht 2026</t>
        </is>
      </c>
    </row>
    <row r="2"/>
    <row r="3">
      <c r="A3" s="19" t="inlineStr">
        <is>
          <t>Kerncijfers</t>
        </is>
      </c>
    </row>
    <row r="4">
      <c r="A4" s="20" t="inlineStr">
        <is>
          <t>Totaal aantal werkbonnen</t>
        </is>
      </c>
      <c r="B4" s="21">
        <f>COUNTA(Werkbonnen!A4:A13)</f>
        <v/>
      </c>
    </row>
    <row r="5">
      <c r="A5" s="22" t="inlineStr">
        <is>
          <t>Aantal afgerond</t>
        </is>
      </c>
      <c r="B5" s="21">
        <f>COUNTIF(Werkbonnen!R4:R13,"Afgerond")</f>
        <v/>
      </c>
    </row>
    <row r="6">
      <c r="A6" s="20" t="inlineStr">
        <is>
          <t>Aantal open</t>
        </is>
      </c>
      <c r="B6" s="21">
        <f>COUNTIF(Werkbonnen!R4:R13,"Open")</f>
        <v/>
      </c>
    </row>
    <row r="7">
      <c r="A7" s="22" t="inlineStr">
        <is>
          <t>Aantal in behandeling</t>
        </is>
      </c>
      <c r="B7" s="21">
        <f>COUNTIF(Werkbonnen!R4:R13,"In behandeling")</f>
        <v/>
      </c>
    </row>
    <row r="8">
      <c r="A8" s="20" t="inlineStr">
        <is>
          <t>Gemiddelde doorlooptijd (uren)</t>
        </is>
      </c>
      <c r="B8" s="42">
        <f>IFERROR(AVERAGE(Werkbonnen!J4:J13),0)</f>
        <v/>
      </c>
    </row>
    <row r="9">
      <c r="A9" s="22" t="inlineStr">
        <is>
          <t>Omzet excl. btw</t>
        </is>
      </c>
      <c r="B9" s="43">
        <f>SUM(Werkbonnen!N4:N13)</f>
        <v/>
      </c>
    </row>
    <row r="10">
      <c r="A10" s="20" t="inlineStr">
        <is>
          <t>Omzet incl. btw</t>
        </is>
      </c>
      <c r="B10" s="43">
        <f>SUM(Werkbonnen!Q4:Q13)</f>
        <v/>
      </c>
    </row>
    <row r="11">
      <c r="A11" s="22" t="inlineStr">
        <is>
          <t>Openstaande werkbonnen waarde</t>
        </is>
      </c>
      <c r="B11" s="43">
        <f>SUMIF(Werkbonnen!R4:R13,"Open",Werkbonnen!Q4:Q13)</f>
        <v/>
      </c>
    </row>
    <row r="12"/>
    <row r="13">
      <c r="A13" s="25" t="inlineStr">
        <is>
          <t>Omzet per monteur</t>
        </is>
      </c>
      <c r="D13" s="25" t="inlineStr">
        <is>
          <t>Werkbonnen per maand 2026</t>
        </is>
      </c>
      <c r="G13" s="25" t="inlineStr">
        <is>
          <t>Statusverdeling</t>
        </is>
      </c>
    </row>
    <row r="14">
      <c r="A14" s="26" t="inlineStr">
        <is>
          <t>Monteur</t>
        </is>
      </c>
      <c r="B14" s="26" t="inlineStr">
        <is>
          <t>Omzet excl. btw</t>
        </is>
      </c>
      <c r="D14" s="26" t="inlineStr">
        <is>
          <t>Maand</t>
        </is>
      </c>
      <c r="E14" s="26" t="inlineStr">
        <is>
          <t>Aantal</t>
        </is>
      </c>
      <c r="G14" s="26" t="inlineStr">
        <is>
          <t>Status</t>
        </is>
      </c>
      <c r="H14" s="26" t="inlineStr">
        <is>
          <t>Aantal</t>
        </is>
      </c>
    </row>
    <row r="15">
      <c r="A15" s="3">
        <f>Monteurs!A4</f>
        <v/>
      </c>
      <c r="B15" s="35">
        <f>SUMIF(Werkbonnen!$C$4:$C$13,A15,Werkbonnen!$N$4:$N$13)</f>
        <v/>
      </c>
      <c r="D15" s="3" t="inlineStr">
        <is>
          <t>Januari</t>
        </is>
      </c>
      <c r="E15" s="27">
        <f>SUMPRODUCT((MONTH(Werkbonnen!$B$4:$B$13)=1)*(YEAR(Werkbonnen!$B$4:$B$13)=2026))</f>
        <v/>
      </c>
      <c r="G15" s="3" t="inlineStr">
        <is>
          <t>Open</t>
        </is>
      </c>
      <c r="H15" s="27">
        <f>COUNTIF(Werkbonnen!$R$4:$R$13,G15)</f>
        <v/>
      </c>
    </row>
    <row r="16">
      <c r="A16" s="11">
        <f>Monteurs!A5</f>
        <v/>
      </c>
      <c r="B16" s="40">
        <f>SUMIF(Werkbonnen!$C$4:$C$13,A16,Werkbonnen!$N$4:$N$13)</f>
        <v/>
      </c>
      <c r="D16" s="11" t="inlineStr">
        <is>
          <t>Februari</t>
        </is>
      </c>
      <c r="E16" s="28">
        <f>SUMPRODUCT((MONTH(Werkbonnen!$B$4:$B$13)=2)*(YEAR(Werkbonnen!$B$4:$B$13)=2026))</f>
        <v/>
      </c>
      <c r="G16" s="11" t="inlineStr">
        <is>
          <t>In behandeling</t>
        </is>
      </c>
      <c r="H16" s="28">
        <f>COUNTIF(Werkbonnen!$R$4:$R$13,G16)</f>
        <v/>
      </c>
    </row>
    <row r="17">
      <c r="A17" s="3">
        <f>Monteurs!A6</f>
        <v/>
      </c>
      <c r="B17" s="35">
        <f>SUMIF(Werkbonnen!$C$4:$C$13,A17,Werkbonnen!$N$4:$N$13)</f>
        <v/>
      </c>
      <c r="D17" s="3" t="inlineStr">
        <is>
          <t>Maart</t>
        </is>
      </c>
      <c r="E17" s="27">
        <f>SUMPRODUCT((MONTH(Werkbonnen!$B$4:$B$13)=3)*(YEAR(Werkbonnen!$B$4:$B$13)=2026))</f>
        <v/>
      </c>
      <c r="G17" s="3" t="inlineStr">
        <is>
          <t>Afgerond</t>
        </is>
      </c>
      <c r="H17" s="27">
        <f>COUNTIF(Werkbonnen!$R$4:$R$13,G17)</f>
        <v/>
      </c>
    </row>
    <row r="18">
      <c r="A18" s="11">
        <f>Monteurs!A7</f>
        <v/>
      </c>
      <c r="B18" s="40">
        <f>SUMIF(Werkbonnen!$C$4:$C$13,A18,Werkbonnen!$N$4:$N$13)</f>
        <v/>
      </c>
      <c r="D18" s="11" t="inlineStr">
        <is>
          <t>April</t>
        </is>
      </c>
      <c r="E18" s="28">
        <f>SUMPRODUCT((MONTH(Werkbonnen!$B$4:$B$13)=4)*(YEAR(Werkbonnen!$B$4:$B$13)=2026))</f>
        <v/>
      </c>
    </row>
    <row r="19">
      <c r="A19" s="3">
        <f>Monteurs!A8</f>
        <v/>
      </c>
      <c r="B19" s="35">
        <f>SUMIF(Werkbonnen!$C$4:$C$13,A19,Werkbonnen!$N$4:$N$13)</f>
        <v/>
      </c>
      <c r="D19" s="3" t="inlineStr">
        <is>
          <t>Mei</t>
        </is>
      </c>
      <c r="E19" s="27">
        <f>SUMPRODUCT((MONTH(Werkbonnen!$B$4:$B$13)=5)*(YEAR(Werkbonnen!$B$4:$B$13)=2026))</f>
        <v/>
      </c>
    </row>
    <row r="20">
      <c r="A20" s="11">
        <f>Monteurs!A9</f>
        <v/>
      </c>
      <c r="B20" s="40">
        <f>SUMIF(Werkbonnen!$C$4:$C$13,A20,Werkbonnen!$N$4:$N$13)</f>
        <v/>
      </c>
      <c r="D20" s="11" t="inlineStr">
        <is>
          <t>Juni</t>
        </is>
      </c>
      <c r="E20" s="28">
        <f>SUMPRODUCT((MONTH(Werkbonnen!$B$4:$B$13)=6)*(YEAR(Werkbonnen!$B$4:$B$13)=2026))</f>
        <v/>
      </c>
    </row>
    <row r="21">
      <c r="A21" s="3">
        <f>Monteurs!A10</f>
        <v/>
      </c>
      <c r="B21" s="35">
        <f>SUMIF(Werkbonnen!$C$4:$C$13,A21,Werkbonnen!$N$4:$N$13)</f>
        <v/>
      </c>
    </row>
    <row r="22">
      <c r="A22" s="11">
        <f>Monteurs!A11</f>
        <v/>
      </c>
      <c r="B22" s="40">
        <f>SUMIF(Werkbonnen!$C$4:$C$13,A22,Werkbonnen!$N$4:$N$13)</f>
        <v/>
      </c>
    </row>
  </sheetData>
  <mergeCells count="5">
    <mergeCell ref="A1:H1"/>
    <mergeCell ref="A3:B3"/>
    <mergeCell ref="A13:B13"/>
    <mergeCell ref="D13:E13"/>
    <mergeCell ref="G13:H13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12" customWidth="1" min="3" max="3"/>
    <col width="16" customWidth="1" min="4" max="4"/>
    <col width="14" customWidth="1" min="5" max="5"/>
    <col width="20" customWidth="1" min="6" max="6"/>
    <col width="10" customWidth="1" min="7" max="7"/>
  </cols>
  <sheetData>
    <row r="1" ht="24" customHeight="1">
      <c r="A1" s="18" t="inlineStr">
        <is>
          <t>Monteurs - Tarieven en Basisgegevens</t>
        </is>
      </c>
    </row>
    <row r="2"/>
    <row r="3">
      <c r="A3" s="2" t="inlineStr">
        <is>
          <t>Monteur</t>
        </is>
      </c>
      <c r="B3" s="2" t="inlineStr">
        <is>
          <t>Functie</t>
        </is>
      </c>
      <c r="C3" s="2" t="inlineStr">
        <is>
          <t>Uurtarief</t>
        </is>
      </c>
      <c r="D3" s="2" t="inlineStr">
        <is>
          <t>Mobiel</t>
        </is>
      </c>
      <c r="E3" s="2" t="inlineStr">
        <is>
          <t>Regio</t>
        </is>
      </c>
      <c r="F3" s="2" t="inlineStr">
        <is>
          <t>Btw-tarief standaard</t>
        </is>
      </c>
      <c r="G3" s="2" t="inlineStr">
        <is>
          <t>Actief?</t>
        </is>
      </c>
    </row>
    <row r="4">
      <c r="A4" s="3" t="inlineStr">
        <is>
          <t>Sanne</t>
        </is>
      </c>
      <c r="B4" s="3" t="inlineStr">
        <is>
          <t>Monteur CV/Installatie</t>
        </is>
      </c>
      <c r="C4" s="36" t="n">
        <v>68.5</v>
      </c>
      <c r="D4" s="3" t="inlineStr">
        <is>
          <t>06-12345678</t>
        </is>
      </c>
      <c r="E4" s="3" t="inlineStr">
        <is>
          <t>Randstad</t>
        </is>
      </c>
      <c r="F4" s="29" t="n">
        <v>0.21</v>
      </c>
      <c r="G4" s="3" t="inlineStr">
        <is>
          <t>Ja</t>
        </is>
      </c>
    </row>
    <row r="5">
      <c r="A5" s="11" t="inlineStr">
        <is>
          <t>Daan</t>
        </is>
      </c>
      <c r="B5" s="11" t="inlineStr">
        <is>
          <t>Elektromonteur</t>
        </is>
      </c>
      <c r="C5" s="36" t="n">
        <v>72</v>
      </c>
      <c r="D5" s="11" t="inlineStr">
        <is>
          <t>06-23456789</t>
        </is>
      </c>
      <c r="E5" s="11" t="inlineStr">
        <is>
          <t>Randstad</t>
        </is>
      </c>
      <c r="F5" s="30" t="n">
        <v>0.21</v>
      </c>
      <c r="G5" s="11" t="inlineStr">
        <is>
          <t>Ja</t>
        </is>
      </c>
    </row>
    <row r="6">
      <c r="A6" s="3" t="inlineStr">
        <is>
          <t>Emma</t>
        </is>
      </c>
      <c r="B6" s="3" t="inlineStr">
        <is>
          <t>Loodgieter</t>
        </is>
      </c>
      <c r="C6" s="36" t="n">
        <v>65</v>
      </c>
      <c r="D6" s="3" t="inlineStr">
        <is>
          <t>06-34567890</t>
        </is>
      </c>
      <c r="E6" s="3" t="inlineStr">
        <is>
          <t>Midden</t>
        </is>
      </c>
      <c r="F6" s="29" t="n">
        <v>0.09</v>
      </c>
      <c r="G6" s="3" t="inlineStr">
        <is>
          <t>Ja</t>
        </is>
      </c>
    </row>
    <row r="7">
      <c r="A7" s="11" t="inlineStr">
        <is>
          <t>Lars</t>
        </is>
      </c>
      <c r="B7" s="11" t="inlineStr">
        <is>
          <t>Storingsmonteur</t>
        </is>
      </c>
      <c r="C7" s="36" t="n">
        <v>78</v>
      </c>
      <c r="D7" s="11" t="inlineStr">
        <is>
          <t>06-45678901</t>
        </is>
      </c>
      <c r="E7" s="11" t="inlineStr">
        <is>
          <t>Zuid</t>
        </is>
      </c>
      <c r="F7" s="30" t="n">
        <v>0.21</v>
      </c>
      <c r="G7" s="11" t="inlineStr">
        <is>
          <t>Ja</t>
        </is>
      </c>
    </row>
    <row r="8">
      <c r="A8" s="3" t="inlineStr">
        <is>
          <t>Sophie</t>
        </is>
      </c>
      <c r="B8" s="3" t="inlineStr">
        <is>
          <t>Installatiemonteur E-laad</t>
        </is>
      </c>
      <c r="C8" s="36" t="n">
        <v>85</v>
      </c>
      <c r="D8" s="3" t="inlineStr">
        <is>
          <t>06-56789012</t>
        </is>
      </c>
      <c r="E8" s="3" t="inlineStr">
        <is>
          <t>Noord</t>
        </is>
      </c>
      <c r="F8" s="29" t="n">
        <v>0.21</v>
      </c>
      <c r="G8" s="3" t="inlineStr">
        <is>
          <t>Ja</t>
        </is>
      </c>
    </row>
    <row r="9">
      <c r="A9" s="11" t="inlineStr">
        <is>
          <t>Bram</t>
        </is>
      </c>
      <c r="B9" s="11" t="inlineStr">
        <is>
          <t>Zonnepanelen specialist</t>
        </is>
      </c>
      <c r="C9" s="36" t="n">
        <v>80</v>
      </c>
      <c r="D9" s="11" t="inlineStr">
        <is>
          <t>06-67890123</t>
        </is>
      </c>
      <c r="E9" s="11" t="inlineStr">
        <is>
          <t>Randstad</t>
        </is>
      </c>
      <c r="F9" s="30" t="n">
        <v>0.21</v>
      </c>
      <c r="G9" s="11" t="inlineStr">
        <is>
          <t>Ja</t>
        </is>
      </c>
    </row>
    <row r="10">
      <c r="A10" s="3" t="inlineStr">
        <is>
          <t>Julia</t>
        </is>
      </c>
      <c r="B10" s="3" t="inlineStr">
        <is>
          <t>Loodgieter</t>
        </is>
      </c>
      <c r="C10" s="36" t="n">
        <v>62.5</v>
      </c>
      <c r="D10" s="3" t="inlineStr">
        <is>
          <t>06-78901234</t>
        </is>
      </c>
      <c r="E10" s="3" t="inlineStr">
        <is>
          <t>Zuid</t>
        </is>
      </c>
      <c r="F10" s="29" t="n">
        <v>0.09</v>
      </c>
      <c r="G10" s="3" t="inlineStr">
        <is>
          <t>Ja</t>
        </is>
      </c>
    </row>
    <row r="11">
      <c r="A11" s="11" t="inlineStr">
        <is>
          <t>Thijs</t>
        </is>
      </c>
      <c r="B11" s="11" t="inlineStr">
        <is>
          <t>Monteur CV/Installatie</t>
        </is>
      </c>
      <c r="C11" s="36" t="n">
        <v>70</v>
      </c>
      <c r="D11" s="11" t="inlineStr">
        <is>
          <t>06-89012345</t>
        </is>
      </c>
      <c r="E11" s="11" t="inlineStr">
        <is>
          <t>Midden</t>
        </is>
      </c>
      <c r="F11" s="30" t="n">
        <v>0.21</v>
      </c>
      <c r="G11" s="11" t="inlineStr">
        <is>
          <t>Ja</t>
        </is>
      </c>
    </row>
  </sheetData>
  <mergeCells count="1">
    <mergeCell ref="A1:G1"/>
  </mergeCells>
  <conditionalFormatting sqref="G4:G11">
    <cfRule type="expression" priority="1" dxfId="3">
      <formula>G4="Ja"</formula>
    </cfRule>
    <cfRule type="expression" priority="2" dxfId="4">
      <formula>G4="Nee"</formula>
    </cfRule>
  </conditionalFormatting>
  <dataValidations count="1">
    <dataValidation sqref="G4:G11" showErrorMessage="1" showInputMessage="1" allowBlank="0" type="list">
      <formula1>"Ja,Nee"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60" customWidth="1" min="1" max="1"/>
    <col width="20" customWidth="1" min="2" max="2"/>
  </cols>
  <sheetData>
    <row r="1" ht="24" customHeight="1">
      <c r="A1" s="18" t="inlineStr">
        <is>
          <t>Instructies - Gebruik Werkbon Sjabloon</t>
        </is>
      </c>
    </row>
    <row r="2"/>
    <row r="3">
      <c r="A3" s="19" t="inlineStr">
        <is>
          <t>Nieuwe werkbon toevoegen</t>
        </is>
      </c>
    </row>
    <row r="4" ht="45" customHeight="1">
      <c r="A4" s="31" t="inlineStr">
        <is>
          <t>Voeg een nieuwe rij toe onderaan het tabblad 'Werkbonnen'. Vul werkbonnummer, datum, monteur, klantgegevens, adres, werkzaamheden en start-/eindtijd in. Uren, totalen en btw worden automatisch berekend.</t>
        </is>
      </c>
    </row>
    <row r="5"/>
    <row r="6">
      <c r="A6" s="19" t="inlineStr">
        <is>
          <t>Statuswaarden</t>
        </is>
      </c>
    </row>
    <row r="7" ht="45" customHeight="1">
      <c r="A7" s="31" t="inlineStr">
        <is>
          <t>Open = werkbon nog niet gestart. In behandeling = werkzaamheden bezig. Afgerond = werk gereed en klaar voor facturatie. Kolom 'Betaald?' toont automatisch 'Ja' zodra status op Afgerond staat.</t>
        </is>
      </c>
    </row>
    <row r="8"/>
    <row r="9">
      <c r="A9" s="19" t="inlineStr">
        <is>
          <t>Kleurcodering</t>
        </is>
      </c>
    </row>
    <row r="10" ht="45" customHeight="1">
      <c r="A10" s="31" t="inlineStr">
        <is>
          <t>Groen = status Afgerond of betaald. Rood = status Open of nog niet betaald. Geel = In behandeling. Lichtgele cellen (bijv. materiaalkosten, voorrijkosten) zijn invoervelden.</t>
        </is>
      </c>
    </row>
    <row r="11"/>
    <row r="12">
      <c r="A12" s="19" t="inlineStr">
        <is>
          <t>Tijdnotatie</t>
        </is>
      </c>
    </row>
    <row r="13" ht="45" customHeight="1">
      <c r="A13" s="31" t="inlineStr">
        <is>
          <t>Vul starttijd en eindtijd altijd in 24-uursnotatie in (bijvoorbeeld 08:00 en 17:30). De formule berekent automatisch het aantal gewerkte uren.</t>
        </is>
      </c>
    </row>
    <row r="14"/>
    <row r="15">
      <c r="A15" s="19" t="inlineStr">
        <is>
          <t>Btw-tarieven</t>
        </is>
      </c>
    </row>
    <row r="16" ht="45" customHeight="1">
      <c r="A16" s="31" t="inlineStr">
        <is>
          <t>Standaard btw-tarief is 21%. Voor bepaalde onderhouds- en reparatiewerkzaamheden aan woningen ouder dan twee jaar kan het verlaagde tarief van 9% van toepassing zijn. Controleer dit per klus.</t>
        </is>
      </c>
    </row>
    <row r="17"/>
    <row r="18">
      <c r="A18" s="19" t="inlineStr">
        <is>
          <t>Uurtarief per monteur</t>
        </is>
      </c>
    </row>
    <row r="19" ht="45" customHeight="1">
      <c r="A19" s="31" t="inlineStr">
        <is>
          <t>Het uurtarief wordt automatisch opgehaald uit het tabblad 'Monteurs' via een VLOOKUP op de naam van de monteur. Pas tarieven centraal aan in 'Monteurs' zodat alle werkbonnen worden bijgewerkt.</t>
        </is>
      </c>
    </row>
    <row r="20"/>
    <row r="21">
      <c r="A21" s="19" t="inlineStr">
        <is>
          <t>Export naar boekhouding</t>
        </is>
      </c>
    </row>
    <row r="22" ht="45" customHeight="1">
      <c r="A22" s="31" t="inlineStr">
        <is>
          <t>Voor facturatie wordt geadviseerd de werkbon te exporteren als e-factuur (UBL-formaat) richting het boekhoudpakket. Zorg dat klantgegevens en btw-percentage correct staan vóór export.</t>
        </is>
      </c>
    </row>
    <row r="23"/>
    <row r="24">
      <c r="A24" s="19" t="inlineStr">
        <is>
          <t>Dashboard</t>
        </is>
      </c>
    </row>
    <row r="25" ht="45" customHeight="1">
      <c r="A25" s="31" t="inlineStr">
        <is>
          <t>Het tabblad 'Dashboard' toont automatisch kerncijfers en grafieken op basis van de ingevulde werkbonnen. Er is geen handmatige invoer nodig op dit tabblad.</t>
        </is>
      </c>
    </row>
  </sheetData>
  <mergeCells count="17">
    <mergeCell ref="A1:B1"/>
    <mergeCell ref="A3:B3"/>
    <mergeCell ref="A4:B4"/>
    <mergeCell ref="A6:B6"/>
    <mergeCell ref="A7:B7"/>
    <mergeCell ref="A9:B9"/>
    <mergeCell ref="A10:B10"/>
    <mergeCell ref="A12:B12"/>
    <mergeCell ref="A13:B13"/>
    <mergeCell ref="A15:B15"/>
    <mergeCell ref="A16:B16"/>
    <mergeCell ref="A18:B18"/>
    <mergeCell ref="A19:B19"/>
    <mergeCell ref="A21:B21"/>
    <mergeCell ref="A22:B22"/>
    <mergeCell ref="A24:B24"/>
    <mergeCell ref="A25:B2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2026-07-02T22:26:13Z</dcterms:created>
  <dcterms:modified xmlns:dcterms="http://purl.org/dc/terms/" xmlns:xsi="http://www.w3.org/2001/XMLSchema-instance" xsi:type="dcterms:W3CDTF">2026-07-02T22:26:13Z</dcterms:modified>
</cp:coreProperties>
</file>